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70" windowWidth="21570" windowHeight="5715" activeTab="0"/>
  </bookViews>
  <sheets>
    <sheet name="Summary Data" sheetId="1" r:id="rId1"/>
    <sheet name="Agriculture" sheetId="2" r:id="rId2"/>
    <sheet name="Transport" sheetId="3" r:id="rId3"/>
    <sheet name="Domestic" sheetId="4" r:id="rId4"/>
    <sheet name="Industry &amp; Commercial(inc SoJ)" sheetId="5" r:id="rId5"/>
    <sheet name="Aviation" sheetId="6" r:id="rId6"/>
    <sheet name="Offshore renewables" sheetId="7" r:id="rId7"/>
    <sheet name="SUMMARY OF EMISSIONS SAVINGS" sheetId="8" r:id="rId8"/>
    <sheet name="EE data and job creation" sheetId="9" r:id="rId9"/>
  </sheets>
  <definedNames/>
  <calcPr fullCalcOnLoad="1"/>
</workbook>
</file>

<file path=xl/comments1.xml><?xml version="1.0" encoding="utf-8"?>
<comments xmlns="http://schemas.openxmlformats.org/spreadsheetml/2006/main">
  <authors>
    <author>magrisl</author>
  </authors>
  <commentList>
    <comment ref="A3" authorId="0">
      <text>
        <r>
          <rPr>
            <b/>
            <sz val="8"/>
            <rFont val="Tahoma"/>
            <family val="2"/>
          </rPr>
          <t>magrisl:</t>
        </r>
        <r>
          <rPr>
            <sz val="8"/>
            <rFont val="Tahoma"/>
            <family val="2"/>
          </rPr>
          <t xml:space="preserve">
1 Mt = 1,000,000 tons</t>
        </r>
      </text>
    </comment>
    <comment ref="A48" authorId="0">
      <text>
        <r>
          <rPr>
            <b/>
            <sz val="8"/>
            <rFont val="Tahoma"/>
            <family val="2"/>
          </rPr>
          <t>magrisl:</t>
        </r>
        <r>
          <rPr>
            <sz val="8"/>
            <rFont val="Tahoma"/>
            <family val="2"/>
          </rPr>
          <t xml:space="preserve">
1 Mt = 1,000,000 tons</t>
        </r>
      </text>
    </comment>
    <comment ref="U105" authorId="0">
      <text>
        <r>
          <rPr>
            <b/>
            <sz val="8"/>
            <rFont val="Tahoma"/>
            <family val="2"/>
          </rPr>
          <t>magrisl:</t>
        </r>
        <r>
          <rPr>
            <sz val="8"/>
            <rFont val="Tahoma"/>
            <family val="2"/>
          </rPr>
          <t xml:space="preserve">
1990 to 1991 = 24% reduction</t>
        </r>
      </text>
    </comment>
    <comment ref="F112" authorId="0">
      <text>
        <r>
          <rPr>
            <b/>
            <sz val="8"/>
            <rFont val="Tahoma"/>
            <family val="2"/>
          </rPr>
          <t>magrisl:
SEE DETAILED TABLE
BAU forecast emissions to 2050 by decade</t>
        </r>
        <r>
          <rPr>
            <sz val="8"/>
            <rFont val="Tahoma"/>
            <family val="2"/>
          </rPr>
          <t xml:space="preserve">
</t>
        </r>
      </text>
    </comment>
    <comment ref="D123" authorId="0">
      <text>
        <r>
          <rPr>
            <b/>
            <sz val="8"/>
            <rFont val="Tahoma"/>
            <family val="2"/>
          </rPr>
          <t>magrisl:</t>
        </r>
        <r>
          <rPr>
            <sz val="8"/>
            <rFont val="Tahoma"/>
            <family val="2"/>
          </rPr>
          <t xml:space="preserve">
80% redn on 1990 = 122,411 target</t>
        </r>
      </text>
    </comment>
    <comment ref="E113" authorId="0">
      <text>
        <r>
          <rPr>
            <b/>
            <sz val="12"/>
            <rFont val="Tahoma"/>
            <family val="2"/>
          </rPr>
          <t>magrisl:</t>
        </r>
        <r>
          <rPr>
            <sz val="12"/>
            <rFont val="Tahoma"/>
            <family val="2"/>
          </rPr>
          <t xml:space="preserve">
of these emissions 
Assuming 74,209 tonnes of MSW in 2007 = 0.0742Mt waste burned 
at 275kt/CO2 per Mt/MSW = 275 x 0.0742 = 20.41 kt/CO2 
20.41 kt x 1,000 = 20,405 tonnes CO2 from MSW in 2007  </t>
        </r>
        <r>
          <rPr>
            <sz val="8"/>
            <rFont val="Tahoma"/>
            <family val="2"/>
          </rPr>
          <t xml:space="preserve">
</t>
        </r>
        <r>
          <rPr>
            <sz val="12"/>
            <rFont val="Tahoma"/>
            <family val="2"/>
          </rPr>
          <t>Total - 20,405 Efw
60832 from power station</t>
        </r>
      </text>
    </comment>
    <comment ref="F113" authorId="0">
      <text>
        <r>
          <rPr>
            <b/>
            <sz val="8"/>
            <rFont val="Tahoma"/>
            <family val="2"/>
          </rPr>
          <t xml:space="preserve">magrisl:
FEB 2012
for 2010 to 2030 got efw emissions NEED TO ADD INTO MID TERM EMISSONS********
2030 to 2050 - no more emissions from EFW so zero
For 2050 - On island generation at 2010 levels whihc is 60% of 2009 emissions (38662 * 0.6)
=23197
</t>
        </r>
        <r>
          <rPr>
            <b/>
            <sz val="10"/>
            <rFont val="Tahoma"/>
            <family val="2"/>
          </rPr>
          <t>O</t>
        </r>
        <r>
          <rPr>
            <b/>
            <sz val="10"/>
            <color indexed="55"/>
            <rFont val="Tahoma"/>
            <family val="2"/>
          </rPr>
          <t xml:space="preserve">LD INFO - INGORE </t>
        </r>
        <r>
          <rPr>
            <sz val="10"/>
            <color indexed="55"/>
            <rFont val="Tahoma"/>
            <family val="2"/>
          </rPr>
          <t xml:space="preserve">
2030 EfW 96,386 tonnes of MSW
Assuming 96,386 tonnes of MSW in 2030 = 0.0964Mt waste burned 
at 275kt/CO2 per Mt/MSW = 275 x 0.0964 = 26.51 kt/CO2 
26.51 kt x 1,000 = </t>
        </r>
        <r>
          <rPr>
            <b/>
            <sz val="12"/>
            <color indexed="55"/>
            <rFont val="Tahoma"/>
            <family val="2"/>
          </rPr>
          <t>26,510 tonnes CO2</t>
        </r>
        <r>
          <rPr>
            <sz val="10"/>
            <color indexed="55"/>
            <rFont val="Tahoma"/>
            <family val="2"/>
          </rPr>
          <t xml:space="preserve"> from MSW in 2030
Power station 0.6x 60832 = </t>
        </r>
        <r>
          <rPr>
            <b/>
            <sz val="10"/>
            <color indexed="55"/>
            <rFont val="Tahoma"/>
            <family val="2"/>
          </rPr>
          <t>36,499 tonnes CO2</t>
        </r>
        <r>
          <rPr>
            <sz val="10"/>
            <color indexed="55"/>
            <rFont val="Tahoma"/>
            <family val="2"/>
          </rPr>
          <t xml:space="preserve">
36,499 + 26,510 = </t>
        </r>
        <r>
          <rPr>
            <b/>
            <sz val="10"/>
            <color indexed="55"/>
            <rFont val="Tahoma"/>
            <family val="2"/>
          </rPr>
          <t>63,009 estimated CO2</t>
        </r>
      </text>
    </comment>
    <comment ref="AP5" authorId="0">
      <text>
        <r>
          <rPr>
            <b/>
            <sz val="8"/>
            <rFont val="Tahoma"/>
            <family val="0"/>
          </rPr>
          <t xml:space="preserve">magrisl:What was achieved:
</t>
        </r>
        <r>
          <rPr>
            <sz val="8"/>
            <rFont val="Tahoma"/>
            <family val="2"/>
          </rPr>
          <t xml:space="preserve">The Department for Planning and Environment continues to develop an Energy Policy in particular through extended discussions with the energy suppliers. The policy will propose a suite of policies with the goal of ensuring secure, affordable and sustainable energy for Jersey and provide a framework within which GHG emissions can be reduced in line with international targets. Parallel to the policy development, the ECO-ACTIVE Energy Efficiency Service has been created to provide energy efficiency advice and provide grants to low-income groups to install insulation and other energy efficiency measures. The Tidal Power Commission has also been further investigating the potential for Jersey to generate renewable energy from its offshore waters.
</t>
        </r>
      </text>
    </comment>
    <comment ref="AP8" authorId="0">
      <text>
        <r>
          <rPr>
            <b/>
            <sz val="8"/>
            <rFont val="Tahoma"/>
            <family val="0"/>
          </rPr>
          <t>magrisl:</t>
        </r>
        <r>
          <rPr>
            <sz val="8"/>
            <rFont val="Tahoma"/>
            <family val="0"/>
          </rPr>
          <t xml:space="preserve">
</t>
        </r>
        <r>
          <rPr>
            <b/>
            <sz val="8"/>
            <rFont val="Tahoma"/>
            <family val="2"/>
          </rPr>
          <t>Why it is important:</t>
        </r>
        <r>
          <rPr>
            <sz val="8"/>
            <rFont val="Tahoma"/>
            <family val="0"/>
          </rPr>
          <t xml:space="preserve">
Jersey is a signatory to the Kyoto Protocol. The Island has therefore committed to reducing its emissions of Green House Gases which have been shown to accelerate global climate change. Locally this will affect sea defences and water resources availability, disrupt ecosystems and alter conditions for agriculture and human health. Jersey performs relatively well but this is mainly as a result of switching electricity production from on-island oil fired plant to importing low carbon electricity from France. Despite this encouraging start the Island cannot be complacent and its Kyoto obligations mean we must continue to drive down our emissions.
</t>
        </r>
      </text>
    </comment>
    <comment ref="AP6" authorId="0">
      <text>
        <r>
          <rPr>
            <b/>
            <sz val="8"/>
            <rFont val="Tahoma"/>
            <family val="0"/>
          </rPr>
          <t>magrisl:</t>
        </r>
        <r>
          <rPr>
            <sz val="8"/>
            <rFont val="Tahoma"/>
            <family val="0"/>
          </rPr>
          <t xml:space="preserve">
NB this is a new dataset, previously the Stats unit calculated carbon emissions but the disaggregated data are now available  for the Island directly and provide a more accurate source in line with International reporting requirements</t>
        </r>
      </text>
    </comment>
    <comment ref="F123" authorId="0">
      <text>
        <r>
          <rPr>
            <b/>
            <sz val="8"/>
            <rFont val="Tahoma"/>
            <family val="0"/>
          </rPr>
          <t>magrisl:</t>
        </r>
        <r>
          <rPr>
            <sz val="8"/>
            <rFont val="Tahoma"/>
            <family val="0"/>
          </rPr>
          <t xml:space="preserve">
24% reduction on 1990 levels</t>
        </r>
      </text>
    </comment>
    <comment ref="G112" authorId="0">
      <text>
        <r>
          <rPr>
            <b/>
            <sz val="8"/>
            <rFont val="Tahoma"/>
            <family val="0"/>
          </rPr>
          <t>magrisl:</t>
        </r>
        <r>
          <rPr>
            <sz val="8"/>
            <rFont val="Tahoma"/>
            <family val="0"/>
          </rPr>
          <t xml:space="preserve">
pop change between 2010 (97852) and 2050 (88199) (down 9.9%)</t>
        </r>
      </text>
    </comment>
    <comment ref="V138" authorId="0">
      <text>
        <r>
          <rPr>
            <b/>
            <sz val="8"/>
            <rFont val="Tahoma"/>
            <family val="0"/>
          </rPr>
          <t>magrisl:
2030 EfW 96,386 tonnes of MSW
Assuming 96386 tonnes of MSW in 2030 = 0.0964Mt waste burned at 275kt/CO2 per Mt/MSW = 275 x 0.0964 = 26.51 kt/CO2 
26.51 kt x 1,000 = 26,510 tonnes CO2 from MSW in 2020
Power station static at 17542
26,510 + 17542 = 44,052 estimated CO22</t>
        </r>
      </text>
    </comment>
    <comment ref="W138" authorId="0">
      <text>
        <r>
          <rPr>
            <b/>
            <sz val="8"/>
            <rFont val="Tahoma"/>
            <family val="0"/>
          </rPr>
          <t>magrisl:</t>
        </r>
        <r>
          <rPr>
            <sz val="8"/>
            <rFont val="Tahoma"/>
            <family val="0"/>
          </rPr>
          <t xml:space="preserve">
elc gen only to 2050</t>
        </r>
      </text>
    </comment>
    <comment ref="U138" authorId="0">
      <text>
        <r>
          <rPr>
            <b/>
            <sz val="8"/>
            <rFont val="Tahoma"/>
            <family val="0"/>
          </rPr>
          <t>magrisl:</t>
        </r>
        <r>
          <rPr>
            <sz val="8"/>
            <rFont val="Tahoma"/>
            <family val="0"/>
          </rPr>
          <t xml:space="preserve">
2020 EfW 86,019 tonnes of MSW
Assuming 86,019 tonnes of MSW in 2020 = 0.0860Mt waste burned at 275kt/CO2 per Mt/MSW = 275 x 0.086 = 23.65 kt/CO2 
23.65 kt x 1,000 = 23,650 tonnes CO2 from MSW in 2020
Power station static at 17542
23,650 + 17542 = 41192 estimated CO22</t>
        </r>
      </text>
    </comment>
    <comment ref="T138" authorId="0">
      <text>
        <r>
          <rPr>
            <b/>
            <sz val="8"/>
            <rFont val="Tahoma"/>
            <family val="0"/>
          </rPr>
          <t>magrisl:</t>
        </r>
        <r>
          <rPr>
            <sz val="8"/>
            <rFont val="Tahoma"/>
            <family val="0"/>
          </rPr>
          <t xml:space="preserve">
38662 = efw (76848 tonnes MSW) + power gen
76848 tonnes 
2009 EfW 76848 tonnes of MSW
Assuming 76848 tonnes of MSW in 2009 = 0.0768Mt waste burned 
at 275kt/CO2 per Mt/MSW = 275 x 0.0768 = 21.12 kt/CO2 
21.12 kt x 1,000 = 21,120 tonnes CO2 from MSW in 2030
38662 - 21120= 17 542 power station</t>
        </r>
      </text>
    </comment>
    <comment ref="U146" authorId="0">
      <text>
        <r>
          <rPr>
            <b/>
            <sz val="8"/>
            <rFont val="Tahoma"/>
            <family val="0"/>
          </rPr>
          <t>magrisl:</t>
        </r>
        <r>
          <rPr>
            <sz val="8"/>
            <rFont val="Tahoma"/>
            <family val="0"/>
          </rPr>
          <t xml:space="preserve">
0% change in population between 2010 (97852) &amp; 2020 (97852)</t>
        </r>
      </text>
    </comment>
    <comment ref="V146" authorId="0">
      <text>
        <r>
          <rPr>
            <b/>
            <sz val="8"/>
            <rFont val="Tahoma"/>
            <family val="0"/>
          </rPr>
          <t>magrisl:</t>
        </r>
        <r>
          <rPr>
            <sz val="8"/>
            <rFont val="Tahoma"/>
            <family val="0"/>
          </rPr>
          <t xml:space="preserve">
-0.9% change in population between 2020(97852)  &amp; 2030 (96975)</t>
        </r>
      </text>
    </comment>
    <comment ref="W146" authorId="0">
      <text>
        <r>
          <rPr>
            <b/>
            <sz val="8"/>
            <rFont val="Tahoma"/>
            <family val="0"/>
          </rPr>
          <t>magrisl:</t>
        </r>
        <r>
          <rPr>
            <sz val="8"/>
            <rFont val="Tahoma"/>
            <family val="0"/>
          </rPr>
          <t xml:space="preserve">
-3.5% change in population between 2030 (96975) &amp; 2040 (93574)
</t>
        </r>
      </text>
    </comment>
    <comment ref="W147" authorId="0">
      <text>
        <r>
          <rPr>
            <b/>
            <sz val="8"/>
            <rFont val="Tahoma"/>
            <family val="0"/>
          </rPr>
          <t>magrisl:</t>
        </r>
        <r>
          <rPr>
            <sz val="8"/>
            <rFont val="Tahoma"/>
            <family val="0"/>
          </rPr>
          <t xml:space="preserve">
% change in population between 2030 &amp; 2040
</t>
        </r>
      </text>
    </comment>
    <comment ref="X146" authorId="0">
      <text>
        <r>
          <rPr>
            <b/>
            <sz val="8"/>
            <rFont val="Tahoma"/>
            <family val="0"/>
          </rPr>
          <t>magrisl:</t>
        </r>
        <r>
          <rPr>
            <sz val="8"/>
            <rFont val="Tahoma"/>
            <family val="0"/>
          </rPr>
          <t xml:space="preserve">
-5.375% change in population between 2040 (93574) &amp; 2050 (88199)
</t>
        </r>
      </text>
    </comment>
    <comment ref="X147" authorId="0">
      <text>
        <r>
          <rPr>
            <b/>
            <sz val="8"/>
            <rFont val="Tahoma"/>
            <family val="0"/>
          </rPr>
          <t>magrisl:</t>
        </r>
        <r>
          <rPr>
            <sz val="8"/>
            <rFont val="Tahoma"/>
            <family val="0"/>
          </rPr>
          <t xml:space="preserve">
% change in population between 2040 &amp; 2050
</t>
        </r>
      </text>
    </comment>
    <comment ref="U147" authorId="0">
      <text>
        <r>
          <rPr>
            <b/>
            <sz val="8"/>
            <rFont val="Tahoma"/>
            <family val="0"/>
          </rPr>
          <t>magrisl:</t>
        </r>
        <r>
          <rPr>
            <sz val="8"/>
            <rFont val="Tahoma"/>
            <family val="0"/>
          </rPr>
          <t xml:space="preserve">
0% change in population between 2010 (97852) &amp; 2020 (97852)</t>
        </r>
      </text>
    </comment>
    <comment ref="V147" authorId="0">
      <text>
        <r>
          <rPr>
            <b/>
            <sz val="8"/>
            <rFont val="Tahoma"/>
            <family val="0"/>
          </rPr>
          <t>magrisl:</t>
        </r>
        <r>
          <rPr>
            <sz val="8"/>
            <rFont val="Tahoma"/>
            <family val="0"/>
          </rPr>
          <t xml:space="preserve">
-0.9% change in population between 2020(97852)  &amp; 2030 (96975)</t>
        </r>
      </text>
    </comment>
    <comment ref="T204" authorId="0">
      <text>
        <r>
          <rPr>
            <b/>
            <sz val="8"/>
            <rFont val="Tahoma"/>
            <family val="0"/>
          </rPr>
          <t>magrisl:</t>
        </r>
        <r>
          <rPr>
            <sz val="8"/>
            <rFont val="Tahoma"/>
            <family val="0"/>
          </rPr>
          <t xml:space="preserve">
Achieved 28.3% decrease on 1990 by 2009 (612056-438751=-173305)
in 2010 emissions 438,751 - need to be 122,411 (by 2050)
Differnce is 316,340 (316,340/438,751*100) = 72.1 in four decades
72.1 / 4 = 18% from 2010 to 2020
</t>
        </r>
      </text>
    </comment>
    <comment ref="U204" authorId="0">
      <text>
        <r>
          <rPr>
            <b/>
            <sz val="8"/>
            <rFont val="Tahoma"/>
            <family val="0"/>
          </rPr>
          <t>magrisl:</t>
        </r>
        <r>
          <rPr>
            <sz val="8"/>
            <rFont val="Tahoma"/>
            <family val="0"/>
          </rPr>
          <t xml:space="preserve">
in 2010 emissions 438,751 - need to be 122,411 (by 2050)
Differnce is 316,340 (316,340/438,751*100) = 72.1 in four decades
72.1 / 4 = 18% from 2010 to 2020
</t>
        </r>
      </text>
    </comment>
    <comment ref="V204" authorId="0">
      <text>
        <r>
          <rPr>
            <b/>
            <sz val="8"/>
            <rFont val="Tahoma"/>
            <family val="0"/>
          </rPr>
          <t>magrisl:</t>
        </r>
        <r>
          <rPr>
            <sz val="8"/>
            <rFont val="Tahoma"/>
            <family val="0"/>
          </rPr>
          <t xml:space="preserve">
in 2030 emissions difference between 2020 and 2050 total % change =65.97% divided by 3 decades which is 21.99%</t>
        </r>
      </text>
    </comment>
    <comment ref="W204" authorId="0">
      <text>
        <r>
          <rPr>
            <b/>
            <sz val="8"/>
            <rFont val="Tahoma"/>
            <family val="0"/>
          </rPr>
          <t>magrisl:</t>
        </r>
        <r>
          <rPr>
            <sz val="8"/>
            <rFont val="Tahoma"/>
            <family val="0"/>
          </rPr>
          <t xml:space="preserve">
magrisl:
in 2040 emissions difference between 2030 and 2050 total 56.38% change =56.38% divided by 2 decades which is 28.19%</t>
        </r>
      </text>
    </comment>
    <comment ref="X204" authorId="0">
      <text>
        <r>
          <rPr>
            <b/>
            <sz val="8"/>
            <rFont val="Tahoma"/>
            <family val="0"/>
          </rPr>
          <t>magrisl:</t>
        </r>
        <r>
          <rPr>
            <sz val="8"/>
            <rFont val="Tahoma"/>
            <family val="0"/>
          </rPr>
          <t xml:space="preserve">
in 2040 emissions difference between 2040 and 2050 total % change =39% divided by 1 decades which is 39.26%</t>
        </r>
      </text>
    </comment>
    <comment ref="C117" authorId="0">
      <text>
        <r>
          <rPr>
            <b/>
            <sz val="8"/>
            <rFont val="Tahoma"/>
            <family val="0"/>
          </rPr>
          <t>magrisl:</t>
        </r>
        <r>
          <rPr>
            <sz val="8"/>
            <rFont val="Tahoma"/>
            <family val="0"/>
          </rPr>
          <t xml:space="preserve">
AEA advise
0% LPG, 50% coal, 100% Fuel oil, 50% gaas oil, 50% kerosene</t>
        </r>
      </text>
    </comment>
    <comment ref="C118" authorId="0">
      <text>
        <r>
          <rPr>
            <b/>
            <sz val="8"/>
            <rFont val="Tahoma"/>
            <family val="0"/>
          </rPr>
          <t>magrisl:</t>
        </r>
        <r>
          <rPr>
            <sz val="8"/>
            <rFont val="Tahoma"/>
            <family val="0"/>
          </rPr>
          <t xml:space="preserve">
AEA advise
100% LPG, 50% coal, 0% Fuel oil, 50% gas oil, 50% kerosene</t>
        </r>
      </text>
    </comment>
    <comment ref="R139" authorId="0">
      <text>
        <r>
          <rPr>
            <b/>
            <sz val="8"/>
            <rFont val="Tahoma"/>
            <family val="0"/>
          </rPr>
          <t>magrisl:</t>
        </r>
        <r>
          <rPr>
            <sz val="8"/>
            <rFont val="Tahoma"/>
            <family val="0"/>
          </rPr>
          <t xml:space="preserve">
See Chris Dore email of 06/03/12 - essentially industrial = 50% of kerosene becos inventory does not allow it in commercial thus combine commercial &amp; industry</t>
        </r>
      </text>
    </comment>
    <comment ref="C122" authorId="0">
      <text>
        <r>
          <rPr>
            <b/>
            <sz val="8"/>
            <rFont val="Tahoma"/>
            <family val="0"/>
          </rPr>
          <t>magrisl:</t>
        </r>
        <r>
          <rPr>
            <sz val="8"/>
            <rFont val="Tahoma"/>
            <family val="0"/>
          </rPr>
          <t xml:space="preserve">
Because the baseline year for F-gases (HFCs, PFCs and SF6) is 1995 and not 1990 in the EU, all comparative calculations and statements should be made on that basis. This is the principal reason that the conclusions given above are different from those highlighted by the EEA (who used an inappropriate baseline of 1990), even though exactly the same basic data are used.
European Greenhouse Gas emissions (EEA data) graphs
</t>
        </r>
      </text>
    </comment>
    <comment ref="S147" authorId="0">
      <text>
        <r>
          <rPr>
            <b/>
            <sz val="8"/>
            <rFont val="Tahoma"/>
            <family val="0"/>
          </rPr>
          <t>magrisl:</t>
        </r>
        <r>
          <rPr>
            <sz val="8"/>
            <rFont val="Tahoma"/>
            <family val="0"/>
          </rPr>
          <t xml:space="preserve">
remember using 1995 baseline for SF6s
</t>
        </r>
      </text>
    </comment>
    <comment ref="T137" authorId="0">
      <text>
        <r>
          <rPr>
            <b/>
            <sz val="8"/>
            <rFont val="Tahoma"/>
            <family val="0"/>
          </rPr>
          <t>magrisl:</t>
        </r>
        <r>
          <rPr>
            <sz val="8"/>
            <rFont val="Tahoma"/>
            <family val="0"/>
          </rPr>
          <t xml:space="preserve">
No 2010 data from AEA thus used 2009 data as proxy</t>
        </r>
      </text>
    </comment>
    <comment ref="T193" authorId="0">
      <text>
        <r>
          <rPr>
            <b/>
            <sz val="8"/>
            <rFont val="Tahoma"/>
            <family val="0"/>
          </rPr>
          <t>magrisl:</t>
        </r>
        <r>
          <rPr>
            <sz val="8"/>
            <rFont val="Tahoma"/>
            <family val="0"/>
          </rPr>
          <t xml:space="preserve">
No 2010 data from AEA thus used 2009 data as proxy. Have straight lined 2010 data to 2050 in setting the targets accounting for the vast reduction as a result of power station category.Have assumed changes in other categories are negligable.</t>
        </r>
      </text>
    </comment>
    <comment ref="X193" authorId="0">
      <text>
        <r>
          <rPr>
            <b/>
            <sz val="8"/>
            <rFont val="Tahoma"/>
            <family val="0"/>
          </rPr>
          <t>magrisl:</t>
        </r>
        <r>
          <rPr>
            <sz val="8"/>
            <rFont val="Tahoma"/>
            <family val="0"/>
          </rPr>
          <t xml:space="preserve">
This is a 80% reduction on 2010 levels (except for power stations)</t>
        </r>
      </text>
    </comment>
  </commentList>
</comments>
</file>

<file path=xl/comments2.xml><?xml version="1.0" encoding="utf-8"?>
<comments xmlns="http://schemas.openxmlformats.org/spreadsheetml/2006/main">
  <authors>
    <author>gloverf</author>
    <author>magrisl</author>
  </authors>
  <commentList>
    <comment ref="I28" authorId="0">
      <text>
        <r>
          <rPr>
            <b/>
            <sz val="8"/>
            <rFont val="Tahoma"/>
            <family val="0"/>
          </rPr>
          <t>gloverf:</t>
        </r>
        <r>
          <rPr>
            <sz val="8"/>
            <rFont val="Tahoma"/>
            <family val="0"/>
          </rPr>
          <t xml:space="preserve">
nb this column is for purposes of plotting graph benchmark only</t>
        </r>
      </text>
    </comment>
    <comment ref="L30" authorId="1">
      <text>
        <r>
          <rPr>
            <b/>
            <sz val="8"/>
            <rFont val="Tahoma"/>
            <family val="0"/>
          </rPr>
          <t>magrisl:</t>
        </r>
        <r>
          <rPr>
            <sz val="8"/>
            <rFont val="Tahoma"/>
            <family val="0"/>
          </rPr>
          <t xml:space="preserve">
Integration of all delivered savings = 29,610</t>
        </r>
      </text>
    </comment>
    <comment ref="C27" authorId="1">
      <text>
        <r>
          <rPr>
            <b/>
            <sz val="8"/>
            <rFont val="Tahoma"/>
            <family val="0"/>
          </rPr>
          <t>magrisl:</t>
        </r>
        <r>
          <rPr>
            <sz val="8"/>
            <rFont val="Tahoma"/>
            <family val="0"/>
          </rPr>
          <t xml:space="preserve">
EMRE DoE agree 30% assumption around ruminant feed is realistic. AD has potential using the methane to power agricultural machinery/tractors. Slurry is rel. poor AD feedstock (since its been through cow gut once already) but food waste is better quality and could be augmented with maize grown after potatoes. This is possible since although some maize is already grown for cows there is further land available that could be put to maize production.</t>
        </r>
      </text>
    </comment>
  </commentList>
</comments>
</file>

<file path=xl/comments3.xml><?xml version="1.0" encoding="utf-8"?>
<comments xmlns="http://schemas.openxmlformats.org/spreadsheetml/2006/main">
  <authors>
    <author>gloverf</author>
    <author>magrisl</author>
  </authors>
  <commentList>
    <comment ref="H61" authorId="0">
      <text>
        <r>
          <rPr>
            <b/>
            <sz val="8"/>
            <rFont val="Tahoma"/>
            <family val="0"/>
          </rPr>
          <t>gloverf:</t>
        </r>
        <r>
          <rPr>
            <sz val="8"/>
            <rFont val="Tahoma"/>
            <family val="0"/>
          </rPr>
          <t xml:space="preserve">
nb column for purposes of plotting graph only</t>
        </r>
      </text>
    </comment>
    <comment ref="L63" authorId="1">
      <text>
        <r>
          <rPr>
            <b/>
            <sz val="8"/>
            <rFont val="Tahoma"/>
            <family val="0"/>
          </rPr>
          <t>magrisl:</t>
        </r>
        <r>
          <rPr>
            <sz val="8"/>
            <rFont val="Tahoma"/>
            <family val="0"/>
          </rPr>
          <t xml:space="preserve">
Total integrated carbon savings = 215,900</t>
        </r>
      </text>
    </comment>
  </commentList>
</comments>
</file>

<file path=xl/comments4.xml><?xml version="1.0" encoding="utf-8"?>
<comments xmlns="http://schemas.openxmlformats.org/spreadsheetml/2006/main">
  <authors>
    <author>magrisl</author>
    <author>gloverf</author>
  </authors>
  <commentList>
    <comment ref="M3" authorId="0">
      <text>
        <r>
          <rPr>
            <b/>
            <sz val="8"/>
            <rFont val="Tahoma"/>
            <family val="0"/>
          </rPr>
          <t>magrisl:</t>
        </r>
        <r>
          <rPr>
            <sz val="8"/>
            <rFont val="Tahoma"/>
            <family val="0"/>
          </rPr>
          <t xml:space="preserve">
need the AEA aplit of emissions across categories. The divide domestic emissison by no HH to give average. Use average to discount the pasivhouses etc</t>
        </r>
      </text>
    </comment>
    <comment ref="C4" authorId="0">
      <text>
        <r>
          <rPr>
            <b/>
            <sz val="8"/>
            <rFont val="Tahoma"/>
            <family val="0"/>
          </rPr>
          <t>magrisl:</t>
        </r>
        <r>
          <rPr>
            <sz val="8"/>
            <rFont val="Tahoma"/>
            <family val="0"/>
          </rPr>
          <t xml:space="preserve">
1
made up of
100% LPG
50% coal
50%Gas oil
50% Kerosene</t>
        </r>
      </text>
    </comment>
    <comment ref="C8" authorId="0">
      <text>
        <r>
          <rPr>
            <b/>
            <sz val="8"/>
            <rFont val="Tahoma"/>
            <family val="0"/>
          </rPr>
          <t>magrisl:</t>
        </r>
        <r>
          <rPr>
            <sz val="8"/>
            <rFont val="Tahoma"/>
            <family val="0"/>
          </rPr>
          <t xml:space="preserve">
included in 4. microrenewables for domestic</t>
        </r>
      </text>
    </comment>
    <comment ref="C10" authorId="0">
      <text>
        <r>
          <rPr>
            <b/>
            <sz val="8"/>
            <rFont val="Tahoma"/>
            <family val="0"/>
          </rPr>
          <t>magrisl:</t>
        </r>
        <r>
          <rPr>
            <sz val="8"/>
            <rFont val="Tahoma"/>
            <family val="0"/>
          </rPr>
          <t xml:space="preserve">
swimming pools included here</t>
        </r>
      </text>
    </comment>
    <comment ref="F106" authorId="0">
      <text>
        <r>
          <rPr>
            <b/>
            <sz val="8"/>
            <rFont val="Tahoma"/>
            <family val="0"/>
          </rPr>
          <t>magrisl:</t>
        </r>
        <r>
          <rPr>
            <sz val="8"/>
            <rFont val="Tahoma"/>
            <family val="0"/>
          </rPr>
          <t xml:space="preserve">
note - zero contribution in 2020</t>
        </r>
      </text>
    </comment>
    <comment ref="H107" authorId="0">
      <text>
        <r>
          <rPr>
            <b/>
            <sz val="8"/>
            <rFont val="Tahoma"/>
            <family val="0"/>
          </rPr>
          <t>magrisl:</t>
        </r>
        <r>
          <rPr>
            <sz val="8"/>
            <rFont val="Tahoma"/>
            <family val="0"/>
          </rPr>
          <t xml:space="preserve">
note should be -586 but zeroed for graphical purposes</t>
        </r>
      </text>
    </comment>
    <comment ref="I101" authorId="1">
      <text>
        <r>
          <rPr>
            <b/>
            <sz val="8"/>
            <rFont val="Tahoma"/>
            <family val="0"/>
          </rPr>
          <t>gloverf:</t>
        </r>
        <r>
          <rPr>
            <sz val="8"/>
            <rFont val="Tahoma"/>
            <family val="0"/>
          </rPr>
          <t xml:space="preserve">
nb column included for purposes of plotting graph only</t>
        </r>
      </text>
    </comment>
    <comment ref="N103" authorId="0">
      <text>
        <r>
          <rPr>
            <b/>
            <sz val="8"/>
            <rFont val="Tahoma"/>
            <family val="0"/>
          </rPr>
          <t>magrisl:</t>
        </r>
        <r>
          <rPr>
            <sz val="8"/>
            <rFont val="Tahoma"/>
            <family val="0"/>
          </rPr>
          <t xml:space="preserve">
243,765
 = total CO2 savings</t>
        </r>
      </text>
    </comment>
  </commentList>
</comments>
</file>

<file path=xl/comments5.xml><?xml version="1.0" encoding="utf-8"?>
<comments xmlns="http://schemas.openxmlformats.org/spreadsheetml/2006/main">
  <authors>
    <author>magrisl</author>
    <author>gloverf</author>
  </authors>
  <commentList>
    <comment ref="C5" authorId="0">
      <text>
        <r>
          <rPr>
            <b/>
            <sz val="8"/>
            <rFont val="Tahoma"/>
            <family val="0"/>
          </rPr>
          <t>magrisl:</t>
        </r>
        <r>
          <rPr>
            <sz val="8"/>
            <rFont val="Tahoma"/>
            <family val="0"/>
          </rPr>
          <t xml:space="preserve">
Large scale mainly space heating for retail, office, hospital, sports centres, schools, prison, fire station etc, harbours, airport</t>
        </r>
      </text>
    </comment>
    <comment ref="E49" authorId="1">
      <text>
        <r>
          <rPr>
            <b/>
            <sz val="8"/>
            <rFont val="Tahoma"/>
            <family val="0"/>
          </rPr>
          <t>gloverf:</t>
        </r>
        <r>
          <rPr>
            <sz val="8"/>
            <rFont val="Tahoma"/>
            <family val="0"/>
          </rPr>
          <t xml:space="preserve">
UK govt target applied
</t>
        </r>
      </text>
    </comment>
    <comment ref="E59" authorId="0">
      <text>
        <r>
          <rPr>
            <b/>
            <sz val="8"/>
            <rFont val="Tahoma"/>
            <family val="0"/>
          </rPr>
          <t>magrisl:</t>
        </r>
        <r>
          <rPr>
            <sz val="8"/>
            <rFont val="Tahoma"/>
            <family val="0"/>
          </rPr>
          <t xml:space="preserve">
Policy : Not enough is known about the commercial sector. Need ECO-ACTIVE BUSINESS to work with sector to deliver 15% saving by 2020 followed by 10% each decade</t>
        </r>
      </text>
    </comment>
    <comment ref="H119" authorId="0">
      <text>
        <r>
          <rPr>
            <b/>
            <sz val="8"/>
            <rFont val="Tahoma"/>
            <family val="0"/>
          </rPr>
          <t>magrisl:</t>
        </r>
        <r>
          <rPr>
            <sz val="8"/>
            <rFont val="Tahoma"/>
            <family val="0"/>
          </rPr>
          <t xml:space="preserve">
AEA 2007 estimates 102,401 t?CO2 so assume that is the same</t>
        </r>
      </text>
    </comment>
    <comment ref="H127" authorId="0">
      <text>
        <r>
          <rPr>
            <b/>
            <sz val="8"/>
            <rFont val="Tahoma"/>
            <family val="0"/>
          </rPr>
          <t>magrisl:</t>
        </r>
        <r>
          <rPr>
            <sz val="8"/>
            <rFont val="Tahoma"/>
            <family val="0"/>
          </rPr>
          <t xml:space="preserve">
Hospital runs on fuel oil
Town centre / office &amp; retial
space heating </t>
        </r>
      </text>
    </comment>
    <comment ref="I130" authorId="0">
      <text>
        <r>
          <rPr>
            <b/>
            <sz val="8"/>
            <rFont val="Tahoma"/>
            <family val="0"/>
          </rPr>
          <t>magrisl:</t>
        </r>
        <r>
          <rPr>
            <sz val="8"/>
            <rFont val="Tahoma"/>
            <family val="0"/>
          </rPr>
          <t xml:space="preserve">
AEA 2007 estimates 98,206 t/CO2 in commercial so assume that is the same because inventory doesn't properly account for the kero split</t>
        </r>
      </text>
    </comment>
    <comment ref="I68" authorId="1">
      <text>
        <r>
          <rPr>
            <b/>
            <sz val="8"/>
            <rFont val="Tahoma"/>
            <family val="0"/>
          </rPr>
          <t>gloverf:</t>
        </r>
        <r>
          <rPr>
            <sz val="8"/>
            <rFont val="Tahoma"/>
            <family val="0"/>
          </rPr>
          <t xml:space="preserve">
nb column included for purposes of plotting graph only</t>
        </r>
      </text>
    </comment>
    <comment ref="C55" authorId="0">
      <text>
        <r>
          <rPr>
            <b/>
            <sz val="8"/>
            <rFont val="Tahoma"/>
            <family val="0"/>
          </rPr>
          <t>magrisl:</t>
        </r>
        <r>
          <rPr>
            <sz val="8"/>
            <rFont val="Tahoma"/>
            <family val="0"/>
          </rPr>
          <t xml:space="preserve">
NB ECO-ACTIVE BUSINESS officer to understand the private secotr more and identify opportuniites for energy saving and renewable uptake</t>
        </r>
      </text>
    </comment>
    <comment ref="C33" authorId="0">
      <text>
        <r>
          <rPr>
            <b/>
            <sz val="8"/>
            <rFont val="Tahoma"/>
            <family val="0"/>
          </rPr>
          <t>magrisl:</t>
        </r>
        <r>
          <rPr>
            <sz val="8"/>
            <rFont val="Tahoma"/>
            <family val="0"/>
          </rPr>
          <t xml:space="preserve">
NB ECO-ACTIVE States officer to understand the public sector more and identify opportuniites for energy saving and renewable uptake</t>
        </r>
      </text>
    </comment>
    <comment ref="N70" authorId="0">
      <text>
        <r>
          <rPr>
            <b/>
            <sz val="8"/>
            <rFont val="Tahoma"/>
            <family val="0"/>
          </rPr>
          <t>magrisl:</t>
        </r>
        <r>
          <rPr>
            <sz val="8"/>
            <rFont val="Tahoma"/>
            <family val="0"/>
          </rPr>
          <t xml:space="preserve">
135,500
 = total CO2 savings delivered</t>
        </r>
      </text>
    </comment>
  </commentList>
</comments>
</file>

<file path=xl/comments6.xml><?xml version="1.0" encoding="utf-8"?>
<comments xmlns="http://schemas.openxmlformats.org/spreadsheetml/2006/main">
  <authors>
    <author>magrisl</author>
    <author>gloverf</author>
  </authors>
  <commentList>
    <comment ref="E7" authorId="0">
      <text>
        <r>
          <rPr>
            <b/>
            <sz val="8"/>
            <rFont val="Tahoma"/>
            <family val="0"/>
          </rPr>
          <t>magrisl:</t>
        </r>
        <r>
          <rPr>
            <sz val="8"/>
            <rFont val="Tahoma"/>
            <family val="0"/>
          </rPr>
          <t xml:space="preserve">
2050 - Final reduction of 50% on 2005 levels (49,065)=24,532
</t>
        </r>
      </text>
    </comment>
    <comment ref="H42" authorId="1">
      <text>
        <r>
          <rPr>
            <b/>
            <sz val="8"/>
            <rFont val="Tahoma"/>
            <family val="0"/>
          </rPr>
          <t>gloverf:</t>
        </r>
        <r>
          <rPr>
            <sz val="8"/>
            <rFont val="Tahoma"/>
            <family val="0"/>
          </rPr>
          <t xml:space="preserve">
nb column included for purposes of plotting graph only</t>
        </r>
      </text>
    </comment>
    <comment ref="L44" authorId="0">
      <text>
        <r>
          <rPr>
            <b/>
            <sz val="8"/>
            <rFont val="Tahoma"/>
            <family val="0"/>
          </rPr>
          <t>magrisl:</t>
        </r>
        <r>
          <rPr>
            <sz val="8"/>
            <rFont val="Tahoma"/>
            <family val="0"/>
          </rPr>
          <t xml:space="preserve">
Integration of all delivered CO2 savings = 55251</t>
        </r>
      </text>
    </comment>
  </commentList>
</comments>
</file>

<file path=xl/comments7.xml><?xml version="1.0" encoding="utf-8"?>
<comments xmlns="http://schemas.openxmlformats.org/spreadsheetml/2006/main">
  <authors>
    <author>magrisl</author>
  </authors>
  <commentList>
    <comment ref="C3" authorId="0">
      <text>
        <r>
          <rPr>
            <b/>
            <sz val="8"/>
            <rFont val="Tahoma"/>
            <family val="0"/>
          </rPr>
          <t>magrisl:</t>
        </r>
        <r>
          <rPr>
            <sz val="8"/>
            <rFont val="Tahoma"/>
            <family val="0"/>
          </rPr>
          <t xml:space="preserve">
1 GWh = 86 toe</t>
        </r>
      </text>
    </comment>
    <comment ref="C25" authorId="0">
      <text>
        <r>
          <rPr>
            <b/>
            <sz val="8"/>
            <rFont val="Tahoma"/>
            <family val="0"/>
          </rPr>
          <t>magrisl:</t>
        </r>
        <r>
          <rPr>
            <sz val="8"/>
            <rFont val="Tahoma"/>
            <family val="0"/>
          </rPr>
          <t xml:space="preserve">
1 GWh = 86 toe</t>
        </r>
      </text>
    </comment>
  </commentList>
</comments>
</file>

<file path=xl/comments8.xml><?xml version="1.0" encoding="utf-8"?>
<comments xmlns="http://schemas.openxmlformats.org/spreadsheetml/2006/main">
  <authors>
    <author>gloverf</author>
    <author>magrisl</author>
  </authors>
  <commentList>
    <comment ref="N21" authorId="0">
      <text>
        <r>
          <rPr>
            <b/>
            <sz val="8"/>
            <rFont val="Tahoma"/>
            <family val="0"/>
          </rPr>
          <t>gloverf:</t>
        </r>
        <r>
          <rPr>
            <sz val="8"/>
            <rFont val="Tahoma"/>
            <family val="0"/>
          </rPr>
          <t xml:space="preserve">
The technical document published by the Commission therefore translates the maximum allowed emissions (emissions budget) under the Package legislation into the Kyoto rules. It results in an EU QELRO of 80% (i.e. on average a 20% reduction over the period 2013-2020 as compared to the Kyoto Protocol's base year).
http://ec.europa.eu/clima/news/articles/news_2012021501_en.htm
</t>
        </r>
      </text>
    </comment>
    <comment ref="M21" authorId="0">
      <text>
        <r>
          <rPr>
            <b/>
            <sz val="8"/>
            <rFont val="Tahoma"/>
            <family val="0"/>
          </rPr>
          <t>gloverf:</t>
        </r>
        <r>
          <rPr>
            <sz val="8"/>
            <rFont val="Tahoma"/>
            <family val="0"/>
          </rPr>
          <t xml:space="preserve">
GREEN = on or exceeding target
RED = below target
</t>
        </r>
      </text>
    </comment>
    <comment ref="F21" authorId="1">
      <text>
        <r>
          <rPr>
            <b/>
            <sz val="8"/>
            <rFont val="Tahoma"/>
            <family val="0"/>
          </rPr>
          <t>magrisl:</t>
        </r>
        <r>
          <rPr>
            <sz val="8"/>
            <rFont val="Tahoma"/>
            <family val="0"/>
          </rPr>
          <t xml:space="preserve">
No 2010 data from AEA thus used 2009 data as proxy</t>
        </r>
      </text>
    </comment>
    <comment ref="J78" authorId="1">
      <text>
        <r>
          <rPr>
            <b/>
            <sz val="8"/>
            <rFont val="Tahoma"/>
            <family val="0"/>
          </rPr>
          <t>magrisl:</t>
        </r>
        <r>
          <rPr>
            <sz val="8"/>
            <rFont val="Tahoma"/>
            <family val="0"/>
          </rPr>
          <t xml:space="preserve">
12p / kg CO2 to deliver reduction</t>
        </r>
      </text>
    </comment>
    <comment ref="J84" authorId="1">
      <text>
        <r>
          <rPr>
            <b/>
            <sz val="8"/>
            <rFont val="Tahoma"/>
            <family val="0"/>
          </rPr>
          <t>magrisl:</t>
        </r>
        <r>
          <rPr>
            <sz val="8"/>
            <rFont val="Tahoma"/>
            <family val="0"/>
          </rPr>
          <t xml:space="preserve">
2p/kg CO2 to deliver savings</t>
        </r>
      </text>
    </comment>
    <comment ref="J89" authorId="1">
      <text>
        <r>
          <rPr>
            <b/>
            <sz val="8"/>
            <rFont val="Tahoma"/>
            <family val="0"/>
          </rPr>
          <t>magrisl:</t>
        </r>
        <r>
          <rPr>
            <sz val="8"/>
            <rFont val="Tahoma"/>
            <family val="0"/>
          </rPr>
          <t xml:space="preserve">
9p/kg CO2 to deliver savings</t>
        </r>
      </text>
    </comment>
  </commentList>
</comments>
</file>

<file path=xl/comments9.xml><?xml version="1.0" encoding="utf-8"?>
<comments xmlns="http://schemas.openxmlformats.org/spreadsheetml/2006/main">
  <authors>
    <author>magrisl</author>
  </authors>
  <commentList>
    <comment ref="E137" authorId="0">
      <text>
        <r>
          <rPr>
            <b/>
            <sz val="8"/>
            <rFont val="Tahoma"/>
            <family val="0"/>
          </rPr>
          <t>magrisl:</t>
        </r>
        <r>
          <rPr>
            <sz val="8"/>
            <rFont val="Tahoma"/>
            <family val="0"/>
          </rPr>
          <t xml:space="preserve">
1982/3.67=540t/co2</t>
        </r>
      </text>
    </comment>
  </commentList>
</comments>
</file>

<file path=xl/sharedStrings.xml><?xml version="1.0" encoding="utf-8"?>
<sst xmlns="http://schemas.openxmlformats.org/spreadsheetml/2006/main" count="942" uniqueCount="499">
  <si>
    <t>1A1a</t>
  </si>
  <si>
    <t>1A2f</t>
  </si>
  <si>
    <t>1A3a</t>
  </si>
  <si>
    <t>1A3b</t>
  </si>
  <si>
    <t>1A4a</t>
  </si>
  <si>
    <t>1A4b</t>
  </si>
  <si>
    <t>5G</t>
  </si>
  <si>
    <t>4A1</t>
  </si>
  <si>
    <t>4A3</t>
  </si>
  <si>
    <t>4A4</t>
  </si>
  <si>
    <t>4A6</t>
  </si>
  <si>
    <t>4A8</t>
  </si>
  <si>
    <t>4B1</t>
  </si>
  <si>
    <t>4B3</t>
  </si>
  <si>
    <t>4B4</t>
  </si>
  <si>
    <t>4B6</t>
  </si>
  <si>
    <t>4B8</t>
  </si>
  <si>
    <t>4B9</t>
  </si>
  <si>
    <t>6B2</t>
  </si>
  <si>
    <t>4B14</t>
  </si>
  <si>
    <t>Grand Total</t>
  </si>
  <si>
    <t>Greenhouse Gas</t>
  </si>
  <si>
    <t>Carbon Dioxide</t>
  </si>
  <si>
    <t>Methane</t>
  </si>
  <si>
    <t>Carbon Dioxide Total</t>
  </si>
  <si>
    <t>Methane Total</t>
  </si>
  <si>
    <t>Nitrous Oxide</t>
  </si>
  <si>
    <t>Nitrous Oxide Total</t>
  </si>
  <si>
    <t>HFCs Total</t>
  </si>
  <si>
    <t>PFCs Total</t>
  </si>
  <si>
    <r>
      <t>SF</t>
    </r>
    <r>
      <rPr>
        <vertAlign val="subscript"/>
        <sz val="10"/>
        <color indexed="8"/>
        <rFont val="Arial"/>
        <family val="2"/>
      </rPr>
      <t>6</t>
    </r>
    <r>
      <rPr>
        <sz val="10"/>
        <color indexed="8"/>
        <rFont val="Arial"/>
        <family val="2"/>
      </rPr>
      <t xml:space="preserve"> Total</t>
    </r>
  </si>
  <si>
    <t>IPCC Sector</t>
  </si>
  <si>
    <t>Sector name</t>
  </si>
  <si>
    <t>Power Stations</t>
  </si>
  <si>
    <t>Industrial Combustion</t>
  </si>
  <si>
    <t>Aviation</t>
  </si>
  <si>
    <t>Road transport</t>
  </si>
  <si>
    <t>Commercial</t>
  </si>
  <si>
    <t>Domestic</t>
  </si>
  <si>
    <t>Land use, land use change and forestry</t>
  </si>
  <si>
    <t>Enteric fermentation - cattle</t>
  </si>
  <si>
    <t>Enteric fermentation - sheep</t>
  </si>
  <si>
    <t>Enteric fermentation - goats</t>
  </si>
  <si>
    <t>Enteric fermentation - horses</t>
  </si>
  <si>
    <t>Enteric fermentation - pigs</t>
  </si>
  <si>
    <t>Wastes - cattle</t>
  </si>
  <si>
    <t>Wastes - sheep</t>
  </si>
  <si>
    <t>Wastes - goats</t>
  </si>
  <si>
    <t>Wastes - horses</t>
  </si>
  <si>
    <t>Wastes - pigs</t>
  </si>
  <si>
    <t>Wastes - poultry</t>
  </si>
  <si>
    <t>Waste water treatment</t>
  </si>
  <si>
    <t>Agriculture</t>
  </si>
  <si>
    <t>SF6 Total</t>
  </si>
  <si>
    <r>
      <t>Units: Mt CO</t>
    </r>
    <r>
      <rPr>
        <b/>
        <vertAlign val="subscript"/>
        <sz val="10"/>
        <color indexed="12"/>
        <rFont val="Arial"/>
        <family val="2"/>
      </rPr>
      <t>2</t>
    </r>
    <r>
      <rPr>
        <b/>
        <sz val="10"/>
        <color indexed="12"/>
        <rFont val="Arial"/>
        <family val="2"/>
      </rPr>
      <t xml:space="preserve"> Equivalent</t>
    </r>
  </si>
  <si>
    <r>
      <t>Units: tCO</t>
    </r>
    <r>
      <rPr>
        <b/>
        <vertAlign val="subscript"/>
        <sz val="10"/>
        <color indexed="12"/>
        <rFont val="Arial"/>
        <family val="2"/>
      </rPr>
      <t>2</t>
    </r>
    <r>
      <rPr>
        <b/>
        <sz val="10"/>
        <color indexed="12"/>
        <rFont val="Arial"/>
        <family val="2"/>
      </rPr>
      <t xml:space="preserve"> Equivalent</t>
    </r>
  </si>
  <si>
    <t>all 4</t>
  </si>
  <si>
    <t>Others</t>
  </si>
  <si>
    <t>Aggregation for White Paper</t>
  </si>
  <si>
    <t>Categories</t>
  </si>
  <si>
    <t>Tonnes CO2 equivalents</t>
  </si>
  <si>
    <t>Grand total minus aviation</t>
  </si>
  <si>
    <t>Land use, land use change &amp; forestry</t>
  </si>
  <si>
    <t>HFCs &amp; PFCs &amp; SF6</t>
  </si>
  <si>
    <t>Greenhouse Gas Emissions in Tonnes of CO2 equivalents</t>
  </si>
  <si>
    <t>zero</t>
  </si>
  <si>
    <t>1990 emissions</t>
  </si>
  <si>
    <t>1990 baseline year - 80%</t>
  </si>
  <si>
    <t>Power Stations (electricity generation &amp; EfW)</t>
  </si>
  <si>
    <t>Road fuel</t>
  </si>
  <si>
    <t>Domestic sector</t>
  </si>
  <si>
    <t>Commercial Sector</t>
  </si>
  <si>
    <t>Jersey 1990-2009 Emissions Summary provided by AEA</t>
  </si>
  <si>
    <t>NOT RELEVANT Difference b/w AEA and SU</t>
  </si>
  <si>
    <t>NOT RELEVANT Grand total from Stats Unit</t>
  </si>
  <si>
    <t>Jersey's total greenhouse gas emissions as recorded under International Panel on Climate Change, Common Reporting Framework Guidelines 2006.</t>
  </si>
  <si>
    <t>Industrial combustion</t>
  </si>
  <si>
    <t>Industry &amp; Government Sector</t>
  </si>
  <si>
    <t>On-Island electricity generation</t>
  </si>
  <si>
    <t>Total Energy Demand</t>
  </si>
  <si>
    <t>%trend</t>
  </si>
  <si>
    <t>2050 BAU</t>
  </si>
  <si>
    <t>FED 2010 and 2050 (BAU) in TOE to give trends for CO2 growth for emissions model</t>
  </si>
  <si>
    <t>EfW zero from 2030 to 2050 elec gen at 2009 levels</t>
  </si>
  <si>
    <t>7% DECREASE</t>
  </si>
  <si>
    <t>2% INCREASE</t>
  </si>
  <si>
    <t xml:space="preserve">10% DECREASE </t>
  </si>
  <si>
    <t>1% INCREASE</t>
  </si>
  <si>
    <t>DECREASES by 9.98% due to popn</t>
  </si>
  <si>
    <t>Assumption</t>
  </si>
  <si>
    <t>2009 emissions (no 2010 data)</t>
  </si>
  <si>
    <t>FED 2010 and 2050 (BAU)</t>
  </si>
  <si>
    <t>BAU projections of energy demand according to corrected popn model</t>
  </si>
  <si>
    <t>TOTAL CHANGE IN FED 2010-2050</t>
  </si>
  <si>
    <t>DECADE % CHANGES IN FED FOR EMISSIONS MODEL</t>
  </si>
  <si>
    <t>2010-2020% change</t>
  </si>
  <si>
    <t>2020-2030% change</t>
  </si>
  <si>
    <t>2030-2040% change</t>
  </si>
  <si>
    <t>2040-2050% change</t>
  </si>
  <si>
    <t>comments</t>
  </si>
  <si>
    <t>Function of population change in that decade</t>
  </si>
  <si>
    <t xml:space="preserve">remains static at 2010 level </t>
  </si>
  <si>
    <t>Efw grows to 2030 (usuing throughput from model) then zeroed, power generation static at 2010 levels</t>
  </si>
  <si>
    <t>Remains static as amt of land not changing</t>
  </si>
  <si>
    <t>reduction target</t>
  </si>
  <si>
    <t>BAU forecast emissions to 2050</t>
  </si>
  <si>
    <t>TARGET 20% of 1990 levels</t>
  </si>
  <si>
    <t>applied changes per decade as shown from demand model</t>
  </si>
  <si>
    <t>reduction % per decade</t>
  </si>
  <si>
    <t>kg CO2 avoided from the STP congestion measure</t>
  </si>
  <si>
    <t>g CO2 avoided from the STP congestion measure</t>
  </si>
  <si>
    <t xml:space="preserve">Tonnes of CO2 avoided per year from STP </t>
  </si>
  <si>
    <t>2012 -140 gCO2 for cars</t>
  </si>
  <si>
    <t xml:space="preserve"> - </t>
  </si>
  <si>
    <t xml:space="preserve">2020- 95 gCO2 for cars </t>
  </si>
  <si>
    <t>Reduction of 32%</t>
  </si>
  <si>
    <t>Each year 6,000 new cars at 95g/CO2 arrive</t>
  </si>
  <si>
    <t>140-95 reduction of 45gCO2 between the standards</t>
  </si>
  <si>
    <t>Assuming fleet turnover of a decade and the following targets</t>
  </si>
  <si>
    <t>10% by 2020</t>
  </si>
  <si>
    <t>saving</t>
  </si>
  <si>
    <t>1. Effect of EU standards on car emissions</t>
  </si>
  <si>
    <t>2. Effect of EU standards on van emissions</t>
  </si>
  <si>
    <t>Tonnes CO2 saved by STP to 2050</t>
  </si>
  <si>
    <t xml:space="preserve">4. STP contribution to CO2 emissions </t>
  </si>
  <si>
    <t>By 2030 (11 yrs for the fleet turnover) all cars will be 95gCO2/km</t>
  </si>
  <si>
    <t>Old Hydrocarbon heated houses</t>
  </si>
  <si>
    <t>Interventions</t>
  </si>
  <si>
    <t>Toe equivalent</t>
  </si>
  <si>
    <t xml:space="preserve">Tidal energy as % of demand </t>
  </si>
  <si>
    <t>GWH per year Tidal stream in NE capacity (ITPower study)</t>
  </si>
  <si>
    <t xml:space="preserve">4. Micro renewables </t>
  </si>
  <si>
    <t>EST - Typical savings are 230kg CO2/yr when replacing gas</t>
  </si>
  <si>
    <t>EU standard reductions</t>
  </si>
  <si>
    <t>1. All old HC HHs with EE interventions (kema + EST)</t>
  </si>
  <si>
    <t>See CO2 savings worksheet for details</t>
  </si>
  <si>
    <t>kgCO2 saved per year</t>
  </si>
  <si>
    <t>tCO2 per year</t>
  </si>
  <si>
    <t>KEMA assume 300 pools annual saving of 172 kg/CO2/yr</t>
  </si>
  <si>
    <t>2. Swimming pools and solar thermal</t>
  </si>
  <si>
    <t xml:space="preserve">number new homes built according to Island Plan assumed 1500 every 5 years </t>
  </si>
  <si>
    <t xml:space="preserve">Assume 1500 homes a year 2011-2016 and then another 1500 (2016-2021) that WILL be carbon neutral </t>
  </si>
  <si>
    <t>discount 1500 *average emissions / HH</t>
  </si>
  <si>
    <t xml:space="preserve">3. Build new houses to stricter BBLs </t>
  </si>
  <si>
    <t>2014 Stricter BBLs requiring 60% more efficient homes</t>
  </si>
  <si>
    <t>2018 BBls deliver carbon neutral homes (in terms of space heating)</t>
  </si>
  <si>
    <t>Refurbs - how many replacement units (ROGER) SoJ assume from Housing Dept that 300 units turnover in 10 years</t>
  </si>
  <si>
    <t>DOMESTIC</t>
  </si>
  <si>
    <t>LPG</t>
  </si>
  <si>
    <t>COAL</t>
  </si>
  <si>
    <t>GAS OIL</t>
  </si>
  <si>
    <t>KEROSENE</t>
  </si>
  <si>
    <t>Toe 2007</t>
  </si>
  <si>
    <t>t/CO2</t>
  </si>
  <si>
    <t>proportion in domestic</t>
  </si>
  <si>
    <t>2007 emissions</t>
  </si>
  <si>
    <t xml:space="preserve">% of emissions </t>
  </si>
  <si>
    <t>proportion in commercial</t>
  </si>
  <si>
    <t xml:space="preserve">Fuel Oil </t>
  </si>
  <si>
    <t>2007 emissions total</t>
  </si>
  <si>
    <t>Using 2007 toe data to calculate proportion of emissions from product across Commercial and Domestic</t>
  </si>
  <si>
    <t>FINAL EMISSIONS AFTER ALL INTERVENTIONS</t>
  </si>
  <si>
    <t>Commercial &amp; SoJ property estate</t>
  </si>
  <si>
    <t>Commercial Sector &amp; SoJ property estate</t>
  </si>
  <si>
    <t xml:space="preserve">t/CO2 per year Average emissions per HH </t>
  </si>
  <si>
    <t>Takes a decade from 2030 to turn target stock over so apply savings from 2040</t>
  </si>
  <si>
    <r>
      <t>Possible Interventions</t>
    </r>
    <r>
      <rPr>
        <sz val="10"/>
        <color indexed="17"/>
        <rFont val="Arial"/>
        <family val="2"/>
      </rPr>
      <t xml:space="preserve">
1. All EE interventions
2. Solar swimming pools
3. Build new houses to stricter BBLs
4. 50% old HC HH switch to solar thermal &amp; electric back up</t>
    </r>
    <r>
      <rPr>
        <sz val="10"/>
        <color indexed="8"/>
        <rFont val="Arial"/>
        <family val="2"/>
      </rPr>
      <t xml:space="preserve">
</t>
    </r>
    <r>
      <rPr>
        <i/>
        <sz val="10"/>
        <color indexed="8"/>
        <rFont val="Arial"/>
        <family val="2"/>
      </rPr>
      <t xml:space="preserve">Not yet modelled
Behaviour change 
</t>
    </r>
  </si>
  <si>
    <t>5. Behaviour Change</t>
  </si>
  <si>
    <t>Apply to all (19054)old HC HH tonnes/ CO2/annum</t>
  </si>
  <si>
    <t>Reduce to 50% of HC HH (9527) as the other 50% have switched to micro RES and elect</t>
  </si>
  <si>
    <t>YEAR</t>
  </si>
  <si>
    <t>Source: Rough Guide to Community Energy (from 10:10 campaign)</t>
  </si>
  <si>
    <t>Assumption: Estimates possible savings of 100-250kg CO2 per annum per HH for reducing heating by 1 degree.</t>
  </si>
  <si>
    <t>LOW (100kg CO2)</t>
  </si>
  <si>
    <t>HIGH (250kg CO2)</t>
  </si>
  <si>
    <t>TOTAL EMISSIONS REDUCTION FROM INTERVENTIONS</t>
  </si>
  <si>
    <t>EMISSIONS</t>
  </si>
  <si>
    <t>FORECASTS</t>
  </si>
  <si>
    <t>Forecast emissions to 2050 after interventions</t>
  </si>
  <si>
    <t>TOTAL FORECAST - TARGET</t>
  </si>
  <si>
    <t>TARGET</t>
  </si>
  <si>
    <t xml:space="preserve"> 20% of 1990 levels</t>
  </si>
  <si>
    <t>DIFFERENCE</t>
  </si>
  <si>
    <t>TARGET 2050</t>
  </si>
  <si>
    <t>TARGET 2020</t>
  </si>
  <si>
    <t>Behaviour Change</t>
  </si>
  <si>
    <t>emissions</t>
  </si>
  <si>
    <t>80 % reduction in emissions by 2050 on 1990 levels achieved through interventions</t>
  </si>
  <si>
    <t>FORECAST Tonnes CO2  reduction on 1990 levels</t>
  </si>
  <si>
    <t>Tonnes CO2 emissions Target minus 2050 emissions after interventions</t>
  </si>
  <si>
    <t>PROGRESS to TARGET 2050</t>
  </si>
  <si>
    <t>RUNNING TARGET</t>
  </si>
  <si>
    <t>Emissions difference 1990-2050</t>
  </si>
  <si>
    <t>% change</t>
  </si>
  <si>
    <t>CHECK</t>
  </si>
  <si>
    <t>% decrease in CO2 -emissions achieved  using EU 20% target reduction on 2013 levels by 2020</t>
  </si>
  <si>
    <t xml:space="preserve">This is an important section in terms of security of supply. 
Calculations to assess potential for going off grid; potential for self sufficiency or not.
Include:
Tidal - maximum potential based on current tech; future forecast?
Windfarm - based on average possible and max potential
???? include section on community ownership or RES; solar parishes
</t>
  </si>
  <si>
    <t>2011 data</t>
  </si>
  <si>
    <t xml:space="preserve">Gas Oil </t>
  </si>
  <si>
    <t>Kerosene</t>
  </si>
  <si>
    <t>Annual consumption data from Procurement enables assumption of % of emissions from public sector operations; need to apply factor to calc emissions from kltr of fuels.</t>
  </si>
  <si>
    <t>7473 341</t>
  </si>
  <si>
    <t>kltr</t>
  </si>
  <si>
    <t>units of gas</t>
  </si>
  <si>
    <t xml:space="preserve">1. Public Sector Savings ie States of Jersey </t>
  </si>
  <si>
    <t>Volume purchased</t>
  </si>
  <si>
    <t xml:space="preserve">Units </t>
  </si>
  <si>
    <t>Tonnes CO2 emissions</t>
  </si>
  <si>
    <t>Ref to oil.pdf supplied by Paul Garraghan/ Christopher Francis. See March 2012 working docs for a copy.</t>
  </si>
  <si>
    <t>(LPG</t>
  </si>
  <si>
    <t>but do not include in calcs as AEA allocate all LPG emissions to domestic)</t>
  </si>
  <si>
    <t>Emissions from this sector = total minus public sector emissions</t>
  </si>
  <si>
    <t>Tonnes CO2</t>
  </si>
  <si>
    <t>SoJ Savings target 10% by 2013; through invest to save and behaviour change</t>
  </si>
  <si>
    <t>INTERVENTIONS - invest to save; rebuild of estate (hospital &amp; police station to zero carbon standard); behaviour change</t>
  </si>
  <si>
    <t>Ind and Comm</t>
  </si>
  <si>
    <t>Industrial and Commercial Sector</t>
  </si>
  <si>
    <t>Total Co2</t>
  </si>
  <si>
    <t>t/CO2 from SoJ (approx 10% of total which equates with overall energy proportion)</t>
  </si>
  <si>
    <t>Savings</t>
  </si>
  <si>
    <t>Savings from SoJ</t>
  </si>
  <si>
    <t>Public : Private sector split of emissions</t>
  </si>
  <si>
    <t>%</t>
  </si>
  <si>
    <t>emission reduced by 25% and then 5%</t>
  </si>
  <si>
    <r>
      <t>Possible Interventions</t>
    </r>
    <r>
      <rPr>
        <sz val="10"/>
        <color indexed="17"/>
        <rFont val="Arial"/>
        <family val="2"/>
      </rPr>
      <t xml:space="preserve">
1. Public sector reductions
2. Private sector reductions from EAB
3. BBLs effect on demolish and rebuilds to zero carbon standard </t>
    </r>
    <r>
      <rPr>
        <i/>
        <sz val="10"/>
        <color indexed="8"/>
        <rFont val="Arial"/>
        <family val="2"/>
      </rPr>
      <t xml:space="preserve">
</t>
    </r>
  </si>
  <si>
    <r>
      <t xml:space="preserve">Assumptions
</t>
    </r>
    <r>
      <rPr>
        <b/>
        <sz val="10"/>
        <rFont val="Arial"/>
        <family val="2"/>
      </rPr>
      <t xml:space="preserve">
Space heating at large scale (hospital, dairy)
</t>
    </r>
    <r>
      <rPr>
        <sz val="10"/>
        <rFont val="Arial"/>
        <family val="2"/>
      </rPr>
      <t xml:space="preserve">
Divide into a) Office based activity that primarily uses heat &amp; Cooling and lighting (80%) b) Transport storage and Comms (5%) c) Manufacteuring and utilities 3% d) Construction &amp; Quarrying
80% of business have heat, cooling &amp; lighting as main energy spend (% whole&amp;retail 16, hotels&amp;bars 9, computers 1, finance 24, misc7, ed&amp;health 10, states JASS 2010)
6,370 = No of business Registered micro 80% 5,100 (&lt;5ppl); small 15% 930 (9-20ppl), Large 5% 350 (21+ppl)
Eco-Active business Energy targets to 14001?</t>
    </r>
    <r>
      <rPr>
        <sz val="10"/>
        <color indexed="10"/>
        <rFont val="Arial"/>
        <family val="2"/>
      </rPr>
      <t xml:space="preserve">
</t>
    </r>
    <r>
      <rPr>
        <sz val="10"/>
        <color indexed="8"/>
        <rFont val="Arial"/>
        <family val="2"/>
      </rPr>
      <t xml:space="preserve">
</t>
    </r>
    <r>
      <rPr>
        <sz val="10"/>
        <color indexed="8"/>
        <rFont val="Arial"/>
        <family val="2"/>
      </rPr>
      <t xml:space="preserve">
</t>
    </r>
  </si>
  <si>
    <t>Savings from Private</t>
  </si>
  <si>
    <t>% enteric fermentation</t>
  </si>
  <si>
    <t>% waste</t>
  </si>
  <si>
    <t>2009 t CO2 emissions</t>
  </si>
  <si>
    <t>2. Switch to AD for better waste management of slurry</t>
  </si>
  <si>
    <t>GWH per year wind in sw capacity (AEA study)</t>
  </si>
  <si>
    <t>Wind energy as % of demand</t>
  </si>
  <si>
    <t>Total Energy Demand (-electricity)</t>
  </si>
  <si>
    <t>assumptions
50 turbine@5MW  at 30% capacity</t>
  </si>
  <si>
    <t>So
By 2030 more than 30% of energy demand could be met by a tidal stream array and an offshore wind farm
Can't say exact % because the reduction in demand vs BAU as a result of policy inventions is unknown (we can't calc back from CO2 to demand)</t>
  </si>
  <si>
    <t>In 2030 the judgement will be, what is the cost benefit of renewable and its security advantages against 5th etc Interconnector)</t>
  </si>
  <si>
    <t xml:space="preserve">In 2020, predicted costs per £1.4M per MW (20% less thans £1.7M per MW in 2011 European wind energy association) At current rates an interconnector costs £50M vs wind farm at £1M/MW therefore £150M for the wind farm we propose </t>
  </si>
  <si>
    <t>Million pounds to construct offshore wind farm in 2020</t>
  </si>
  <si>
    <t>Impact of 10% Behaviour Change</t>
  </si>
  <si>
    <t>10% reduction</t>
  </si>
  <si>
    <t xml:space="preserve">Commercial </t>
  </si>
  <si>
    <t>300 total or 300 treatable ??</t>
  </si>
  <si>
    <t>Every year approx 100 units are touched by new BBLs (completiont certs 2011 show 7.8% refurbs with thermal upgrade (98), 34.85% refurbs NO thermal upgrade (436) and 57.3% new builds (717)</t>
  </si>
  <si>
    <t>Of 44,698 HH, 98 are upgraded per year (0.22%)</t>
  </si>
  <si>
    <t>Refurbs</t>
  </si>
  <si>
    <t>IMPT - Not modelled impact of BBLs on refurbs since only 0.22% are reached per annum and that is for all (not just HC) households.
THUS BBLs make negligible impact on upgrading exisiting stock. Need EES / incentives to move this part of the market</t>
  </si>
  <si>
    <t>FORECASTS AFTER INTERVENTIONS</t>
  </si>
  <si>
    <t>Power generation</t>
  </si>
  <si>
    <t xml:space="preserve">Commercial sector </t>
  </si>
  <si>
    <t>From the Energy model SS +150 spreadsheet - Demand as function of population (feb12)</t>
  </si>
  <si>
    <t>need to show calcs</t>
  </si>
  <si>
    <t>reduction target is 20% of 1990 emissions (0.2*615,478)123,096 t/CO2</t>
  </si>
  <si>
    <t>2. 300 Swimming pools are no longer heated by oil fired systems</t>
  </si>
  <si>
    <t xml:space="preserve">3. Introducing a ‘carbon-neutral’ standard for new homes through Building Bye-Laws </t>
  </si>
  <si>
    <t>5. Improved energy efficiency through behaviour change programme</t>
  </si>
  <si>
    <t>2. EE Private Sector</t>
  </si>
  <si>
    <t>1. Reduction in GHG from ruminants by 30% due to improved diet, genetic improvements increasing productivity &amp; husbandary</t>
  </si>
  <si>
    <t>1.Energy efficiency measures applied  to pre-2000 stock of properties (carbon accounting only from Old stock of hydrocarbon houses)</t>
  </si>
  <si>
    <t>Solar thermal (as an example) - average provision of 39% of hot water (EST research) but good systems can provide up to 60% of hot water</t>
  </si>
  <si>
    <t>4. Implement micro-renewables</t>
  </si>
  <si>
    <t>NB includes Parish Pilot study programme</t>
  </si>
  <si>
    <t>nb. Housing white paper suggests a possible 368 additional units to be built for social housing (apr 2012). 
Checked with Planning, these would be additional to the IP housing figures; but as they will be built to higher BBL standards, they will not need to be accounted for in the model</t>
  </si>
  <si>
    <t>INTERVENTIONS</t>
  </si>
  <si>
    <r>
      <t>GHG emissions pathway (cumulative) from interventions by decade (t/CO</t>
    </r>
    <r>
      <rPr>
        <b/>
        <vertAlign val="subscript"/>
        <sz val="10"/>
        <color indexed="8"/>
        <rFont val="Arial"/>
        <family val="2"/>
      </rPr>
      <t>2eq</t>
    </r>
    <r>
      <rPr>
        <b/>
        <sz val="10"/>
        <color indexed="8"/>
        <rFont val="Arial"/>
        <family val="2"/>
      </rPr>
      <t>)</t>
    </r>
  </si>
  <si>
    <t xml:space="preserve">Final emissions pathway after all interventions </t>
  </si>
  <si>
    <t>For Policy</t>
  </si>
  <si>
    <t>Improved EU emissions standards for cars</t>
  </si>
  <si>
    <t>Achieving congestion management targets</t>
  </si>
  <si>
    <t xml:space="preserve">1. Energy efficiency measures applied  to pre-2000 stock of properties </t>
  </si>
  <si>
    <t>2. Introducing a ‘carbon-neutral’ standard for new homes through Building Bye-Laws (by 2014 60% more efficient homes and 2018 carbon neutral for space heating)</t>
  </si>
  <si>
    <t>3. Implement micro-renewables in the domestic sector (solar thermal)</t>
  </si>
  <si>
    <t>4. Improved energy efficiency through behaviour change programme</t>
  </si>
  <si>
    <t>1. Energy efficiency improvements in the Public Sector</t>
  </si>
  <si>
    <t xml:space="preserve">2. Energy efficiency improvements in the Private Sector </t>
  </si>
  <si>
    <t>1. Reduction in emissions from ruminants (30% by 2030)</t>
  </si>
  <si>
    <t xml:space="preserve">2. Implementation of Anaerobic Digestion systems for waste management of livestock slurry by 2030 </t>
  </si>
  <si>
    <t>1. Improved international operating standards for aircraft (By 2050 reduce emissions by 50% on 2005 levels)</t>
  </si>
  <si>
    <t>BAU</t>
  </si>
  <si>
    <t>Business as usual</t>
  </si>
  <si>
    <t>BUSINESS AS USUAL</t>
  </si>
  <si>
    <t>Kyoto TARGET 20% of 1990 levels</t>
  </si>
  <si>
    <t>Illustrative reduction forecast assuming straight line reduction in emissions per decade (Note the graph takes into account actual carbon reductions made between 1990 and 2010)</t>
  </si>
  <si>
    <t>Kyoto target</t>
  </si>
  <si>
    <t>kyoto target</t>
  </si>
  <si>
    <r>
      <t xml:space="preserve">Assumptions
</t>
    </r>
    <r>
      <rPr>
        <sz val="10"/>
        <color indexed="8"/>
        <rFont val="Arial"/>
        <family val="2"/>
      </rPr>
      <t xml:space="preserve">
No of Households 44,698 (2011 census)
0.639 tCO2 saved per house per year (Phase 1 report; with minimal Heating system improvements) as a result of Phase 1 HES </t>
    </r>
    <r>
      <rPr>
        <b/>
        <sz val="10"/>
        <color indexed="8"/>
        <rFont val="Arial"/>
        <family val="2"/>
      </rPr>
      <t>insulation</t>
    </r>
    <r>
      <rPr>
        <sz val="10"/>
        <color indexed="8"/>
        <rFont val="Arial"/>
        <family val="2"/>
      </rPr>
      <t xml:space="preserve"> measures
19,054 old hydrocarbon houses  (49% of HH are oil 32% /gas 10% /solid fuel 2% /comb ex electric 5% (JASS) = 21,902 houses of which 87% are pre 2000s therefore 0.87*21902=) BBLs changed 1996
See accompanying spreadsheet (CO2 savings)
there are 38,887 houses pre 2000 of which 50% are electric or combi with electric = 19,443 electric HHs
(thus to do EE to ALL HHs there are 38,497 HH that are pre-2000 and require makeovers)</t>
    </r>
    <r>
      <rPr>
        <sz val="10"/>
        <rFont val="Arial"/>
        <family val="2"/>
      </rPr>
      <t xml:space="preserve">
It is likely that the Domestic sector will have to save more than 80% by 2050 in order to compensate for other sectors where it is more difficult to make savings - </t>
    </r>
    <r>
      <rPr>
        <i/>
        <sz val="10"/>
        <rFont val="Arial"/>
        <family val="2"/>
      </rPr>
      <t>See Scotland report in March 2012 folder.</t>
    </r>
    <r>
      <rPr>
        <sz val="10"/>
        <color indexed="8"/>
        <rFont val="Arial"/>
        <family val="2"/>
      </rPr>
      <t xml:space="preserve">
</t>
    </r>
  </si>
  <si>
    <t>Measures</t>
  </si>
  <si>
    <t>Hot water insulation</t>
  </si>
  <si>
    <t>Cavity Wall Insulation</t>
  </si>
  <si>
    <t>Improved Heating Controls</t>
  </si>
  <si>
    <t>Draught Proofing</t>
  </si>
  <si>
    <t>Solid Wall Insulation</t>
  </si>
  <si>
    <t>A Rated Boiler</t>
  </si>
  <si>
    <t>Whole houses or bungalows</t>
  </si>
  <si>
    <t>Loft Insulation (professional)</t>
  </si>
  <si>
    <t>Glazing E to C</t>
  </si>
  <si>
    <t>Cost/ annual kg saved</t>
  </si>
  <si>
    <t>Loft Insulation (DIY)</t>
  </si>
  <si>
    <t>Estimate Jersey
Dwellings</t>
  </si>
  <si>
    <t>Max Potential Carbon 
Savings/ yr tonnes</t>
  </si>
  <si>
    <t>Electric</t>
  </si>
  <si>
    <t>Gas</t>
  </si>
  <si>
    <t xml:space="preserve">Electricity </t>
  </si>
  <si>
    <t xml:space="preserve">Oil </t>
  </si>
  <si>
    <t xml:space="preserve">Gas </t>
  </si>
  <si>
    <t>Heating mix - space</t>
  </si>
  <si>
    <t>Water Heating mix</t>
  </si>
  <si>
    <t>Sum main fuels</t>
  </si>
  <si>
    <t>KgC/KWh</t>
  </si>
  <si>
    <t>Jersey Energy Cost saved
per year (no comfort taking)</t>
  </si>
  <si>
    <t>Jersey Carbon saved
per year kgC/yr</t>
  </si>
  <si>
    <t>Table for section 2.3</t>
  </si>
  <si>
    <t>Split assuming just 3 fuels</t>
  </si>
  <si>
    <t>Jersey Cost per unit</t>
  </si>
  <si>
    <t>Jersey CO2 saved
per year kgC02/yr</t>
  </si>
  <si>
    <t>Max Potential CO2
Savings/ yr tonnes</t>
  </si>
  <si>
    <t>Total target (HC old) Households 2011</t>
  </si>
  <si>
    <t>Electricity removed to calc CO2 savings in Hydrocarbon households (19054) &amp; accounts for comfort factor</t>
  </si>
  <si>
    <t>Explanations for Calcs - only accounting for old HC houses</t>
  </si>
  <si>
    <t>(over 20 years)</t>
  </si>
  <si>
    <t>EST data for Jersey 3 bed house kWh saved/yr (see sheet2)</t>
  </si>
  <si>
    <t>kWh fuel saved</t>
  </si>
  <si>
    <t>£ saved</t>
  </si>
  <si>
    <t>kg CO2 saved</t>
  </si>
  <si>
    <t>Insulation measures</t>
  </si>
  <si>
    <t xml:space="preserve">Loft Insulation 0-270mm </t>
  </si>
  <si>
    <t xml:space="preserve">Loft Insulation 50-270mm </t>
  </si>
  <si>
    <t xml:space="preserve">Loft Insulation 100-270mm </t>
  </si>
  <si>
    <t xml:space="preserve">Loft Insulation 150-270mm </t>
  </si>
  <si>
    <t>Cavity Wall Insulation (Average)</t>
  </si>
  <si>
    <t>External Wall Insulation (U=0.35)</t>
  </si>
  <si>
    <t>Internal Wall Insulation (U=0.45)</t>
  </si>
  <si>
    <t>Double Glazing - to Min Std. (C rated)</t>
  </si>
  <si>
    <t>Double Glazing -Min to ESTR.(C to B)</t>
  </si>
  <si>
    <t>Double Glazing - single to ESTR</t>
  </si>
  <si>
    <t>Secondary glazing</t>
  </si>
  <si>
    <t>Floor Insulation</t>
  </si>
  <si>
    <t>HWT Insulation</t>
  </si>
  <si>
    <t>PP Insulation</t>
  </si>
  <si>
    <t>Radiator Panels (Installed) - per m2</t>
  </si>
  <si>
    <t>Radiator Panels (DIY) - per m2</t>
  </si>
  <si>
    <t>Block gaps around skirting</t>
  </si>
  <si>
    <t>Chimney balloon</t>
  </si>
  <si>
    <t>Heating System</t>
  </si>
  <si>
    <t>Replacement of old (G-rated) boiler with A-rated condensing boiler and full set of heating controls</t>
  </si>
  <si>
    <t>Room Thermostat</t>
  </si>
  <si>
    <t>TRVs</t>
  </si>
  <si>
    <t>HWT Thermostat</t>
  </si>
  <si>
    <t>Averages</t>
  </si>
  <si>
    <t>av double glazing</t>
  </si>
  <si>
    <t>Loft</t>
  </si>
  <si>
    <t>Controls</t>
  </si>
  <si>
    <t xml:space="preserve">Solid wall (internal and external) </t>
  </si>
  <si>
    <t>Man hours required to complete measure</t>
  </si>
  <si>
    <t>Esimate based upon</t>
  </si>
  <si>
    <t>Man hours to complete all identified dwellings</t>
  </si>
  <si>
    <t>2 x workmen for 1 day</t>
  </si>
  <si>
    <t>1 x plumber/electrician and apprentice for 1/2 day</t>
  </si>
  <si>
    <t>2 x workmen for 1 week</t>
  </si>
  <si>
    <t>2 x workmen for 3 days</t>
  </si>
  <si>
    <t>228 working days per year</t>
  </si>
  <si>
    <t>Assume 7.5 hour days</t>
  </si>
  <si>
    <t>FTE's required to complete all dwellings over 20 years</t>
  </si>
  <si>
    <t>Man days required to complete all dwelling (7.5 hr days)</t>
  </si>
  <si>
    <t>Man years required to complete all dwellings (228 days/yr)</t>
  </si>
  <si>
    <t>1 x plumber and apprentice for 1.5hrs (tank and pipe)</t>
  </si>
  <si>
    <t>1 x plumber and apprentice for 2 days</t>
  </si>
  <si>
    <t>Site visits, collection of materials, admin &amp; management</t>
  </si>
  <si>
    <t>Total hours required to carry out works</t>
  </si>
  <si>
    <t>Kwh/ year saving</t>
  </si>
  <si>
    <t xml:space="preserve">Jersey Energy Cost saved
per year </t>
  </si>
  <si>
    <t>Table for section 2.4</t>
  </si>
  <si>
    <t>CFL</t>
  </si>
  <si>
    <t>Torchiere</t>
  </si>
  <si>
    <t>Wet appliances</t>
  </si>
  <si>
    <t>Cold Appliances</t>
  </si>
  <si>
    <t>Total in 2001 (better breakdown)</t>
  </si>
  <si>
    <t>Explanations for Calcs</t>
  </si>
  <si>
    <t>Figures from Jersey Energy</t>
  </si>
  <si>
    <t xml:space="preserve">Costs of energy </t>
  </si>
  <si>
    <t>£/kWh</t>
  </si>
  <si>
    <t>Price Source</t>
  </si>
  <si>
    <t>Normal domestic</t>
  </si>
  <si>
    <t>Prices for 2007 as per Nigel Ricou e-mail 12 December</t>
  </si>
  <si>
    <t xml:space="preserve"> </t>
  </si>
  <si>
    <t>Heating Only</t>
  </si>
  <si>
    <t>Oil</t>
  </si>
  <si>
    <t>Price quoted in email of 33.02p per litre Conversion factor 10.22 litres to 1kWh</t>
  </si>
  <si>
    <t>Gas Super economy 24</t>
  </si>
  <si>
    <t xml:space="preserve">Assume use 12,000 units in year = 33KWh a day so only use rate for below 54.79 KWh per day </t>
  </si>
  <si>
    <t xml:space="preserve">Standard 24 </t>
  </si>
  <si>
    <t>Based on average of 6 expensive units at 10.8p/Kwh and 27 cheap units at 7.34p/KWh per day</t>
  </si>
  <si>
    <t>Pre 2000 Total HHs</t>
  </si>
  <si>
    <t>Estimate Jersey HC
Dwellings</t>
  </si>
  <si>
    <t>Estimate Jersey Electric dwellings</t>
  </si>
  <si>
    <t>Created direct contractor jobs per year for 20 years</t>
  </si>
  <si>
    <t>Plus admin support @ 0.2FTE per contractor</t>
  </si>
  <si>
    <t>TOTAL JOBS per year for 20 years</t>
  </si>
  <si>
    <t>Solar thermal (boiler replacements)</t>
  </si>
  <si>
    <t xml:space="preserve">2 x workmen </t>
  </si>
  <si>
    <t xml:space="preserve">Overall jobs </t>
  </si>
  <si>
    <t xml:space="preserve">1 x auditor visit </t>
  </si>
  <si>
    <t>Energy Auditor @ 1 person</t>
  </si>
  <si>
    <t xml:space="preserve">Energy Audits (domestic) </t>
  </si>
  <si>
    <t>Calculation of EE opportunities in elctric pre-2000 HHs</t>
  </si>
  <si>
    <t xml:space="preserve">KEMA calculations for eligible properties/interventions updated using EST Jersey specific savings </t>
  </si>
  <si>
    <t>Efw grows to 2030 (usuing throughput from TTS Waste model) then zeroed, power generation static at 2010 levels</t>
  </si>
  <si>
    <t>NB both sector targets include improvements from upgrading stock via BBLs</t>
  </si>
  <si>
    <t>Kyoto</t>
  </si>
  <si>
    <t>number of pre 2000 Electric HHs requiring makeovers</t>
  </si>
  <si>
    <t>Energy Efficiency measures - domestic sector</t>
  </si>
  <si>
    <t>Micro RE measures - domestic sector</t>
  </si>
  <si>
    <t>Note this line relates to micro renewables;</t>
  </si>
  <si>
    <t>Business as usual forecast of emissions</t>
  </si>
  <si>
    <t>BAU forecast emissions to 2050 by decade</t>
  </si>
  <si>
    <t xml:space="preserve">note corrected table </t>
  </si>
  <si>
    <t>3600 x 5 x 52 = 936,000 trips per year avoided</t>
  </si>
  <si>
    <t>removed</t>
  </si>
  <si>
    <t>NB Micro-renewable include solar thermal / GSHPs</t>
  </si>
  <si>
    <t>Total CO2 savings estimated as 65,461</t>
  </si>
  <si>
    <t>Turnover to save 65,461/3 to account for 3 decades - to maintian sustainable work flow for contractors</t>
  </si>
  <si>
    <t>t/CO2 saved as a result of &gt; 2030, 75% old HC homes will replace boilers withmicro renewable system with an electric back up so discount for (19054*0.75=14,290 HH)</t>
  </si>
  <si>
    <t>note corrected in May fro DSG comments; changed to match UK carbon plan 5% reduction 30/05/12</t>
  </si>
  <si>
    <t>changed to match UK carbon plan 2012; virtually all LEV by 2050</t>
  </si>
  <si>
    <t>30% by 2030</t>
  </si>
  <si>
    <t>60% by 2040</t>
  </si>
  <si>
    <t>90% by 2050</t>
  </si>
  <si>
    <t>Numbers updated to reflect UK carbon plan targets 30/05./12</t>
  </si>
  <si>
    <t>3. Ultra Low Emission Vehicles</t>
  </si>
  <si>
    <t>percentage reduction per decade against 1990 baseline</t>
  </si>
  <si>
    <t>3. Emissions as a result of low emission cars</t>
  </si>
  <si>
    <t>1.1 5% Modal shift i.e. Mileage redn of 5%</t>
  </si>
  <si>
    <t>2. Forecast emmisions from vans and lorries (accounting for fleet change &amp; Eu redn)</t>
  </si>
  <si>
    <t>1.1 Modal shift</t>
  </si>
  <si>
    <t>5% reduction applied in line with UK Carbon plan</t>
  </si>
  <si>
    <t>Emissions savings per decade</t>
  </si>
  <si>
    <t>emissions savings per decade</t>
  </si>
  <si>
    <t xml:space="preserve">Van and lorry emissions - by 2020 reduction (175-147) of 16% emissions </t>
  </si>
  <si>
    <t>Car emisions</t>
  </si>
  <si>
    <t>Emmisions are 68% of original BAU forecast for 6,000 cars in flet)</t>
  </si>
  <si>
    <t>55792 cars of which 6,000 come in at 68% lower emissions</t>
  </si>
  <si>
    <t xml:space="preserve">% per decade </t>
  </si>
  <si>
    <r>
      <t xml:space="preserve">1. Forecast of improved EU standards for </t>
    </r>
    <r>
      <rPr>
        <b/>
        <u val="single"/>
        <sz val="10"/>
        <color indexed="8"/>
        <rFont val="Arial"/>
        <family val="2"/>
      </rPr>
      <t>car</t>
    </r>
    <r>
      <rPr>
        <sz val="10"/>
        <color indexed="8"/>
        <rFont val="Arial"/>
        <family val="2"/>
      </rPr>
      <t xml:space="preserve"> emissions (68% of original applied to 11% of fleet per decade cumulative)</t>
    </r>
  </si>
  <si>
    <t>4. Emissions accounting for STP measures by 2020</t>
  </si>
  <si>
    <t>vans lorries emissions (12.5% of fleet)</t>
  </si>
  <si>
    <t>reduce emissions by 16% per decade from 2020 as result of EU standards improving</t>
  </si>
  <si>
    <t>Emissions from remaining vehicles (Buses &amp; MCs) to add back in to total</t>
  </si>
  <si>
    <t>vans and lorries % of fleet from 
TTS data = 8.6+3.9%</t>
  </si>
  <si>
    <t xml:space="preserve">Final emissions pathway for total fleet after all interventions </t>
  </si>
  <si>
    <t xml:space="preserve">this is applying a 16% reduction in van and lorry emissions </t>
  </si>
  <si>
    <t>emissions  per decade</t>
  </si>
  <si>
    <t>savings per decade</t>
  </si>
  <si>
    <r>
      <t xml:space="preserve">Assumptions
</t>
    </r>
    <r>
      <rPr>
        <sz val="10"/>
        <color indexed="8"/>
        <rFont val="Arial"/>
        <family val="2"/>
      </rPr>
      <t>267gCO2/km emissions from all vehicles (DSG 29-2-12)
140gCO2/km emissions from just cars (2012 data from SMMP)
Census says 62456 cars and vans -10.67% of 62456= 6664 vans 89.33% * 62456 = 55,792 cars 
Annual Mileage 6000 miles or 9656 km per a</t>
    </r>
  </si>
  <si>
    <r>
      <t>Possible Interventions</t>
    </r>
    <r>
      <rPr>
        <sz val="10"/>
        <color indexed="17"/>
        <rFont val="Arial"/>
        <family val="2"/>
      </rPr>
      <t xml:space="preserve">
1. EU standard reducing emissions of cars
2. EU standard reducing emissions of vans
3. Electric vehicles 
4. Effect of STP congestion management (15%)
5. Modal shift (changed working patterns, reduced commuting and less trips, bette</t>
    </r>
  </si>
  <si>
    <t>BUSINESS AS USUAL FOR ALL VEHICLES</t>
  </si>
  <si>
    <t>Improved EU emissions standards for vans &amp; lorries; no change applied to buses and other remaining vehicles</t>
  </si>
  <si>
    <t>Take-up of ultra low emission vehicles</t>
  </si>
  <si>
    <t xml:space="preserve">5% modal shift away from single occupancy private car </t>
  </si>
  <si>
    <t>2 x 1800 avoided car trips to town and back at peak time = STP target</t>
  </si>
  <si>
    <t xml:space="preserve">Further 10% next decade </t>
  </si>
  <si>
    <t>25% (10% 2010 to 2015 and 15% to 2020)</t>
  </si>
  <si>
    <t>Note: Sustainable Business Forum to review and poss. Propose more far reaching targets?</t>
  </si>
  <si>
    <t xml:space="preserve">Demand Management </t>
  </si>
  <si>
    <t xml:space="preserve">Potential </t>
  </si>
  <si>
    <t>% reduction in emissions</t>
  </si>
  <si>
    <t xml:space="preserve">Energy efficiency measures applied to pre-1997 stock of properties </t>
  </si>
  <si>
    <t>Implement micro-renewables in the domestic sector</t>
  </si>
  <si>
    <t>Assisting the uptake of micro generation</t>
  </si>
  <si>
    <t>Improved energy efficiency through behaviour change programme</t>
  </si>
  <si>
    <t xml:space="preserve">Industrial &amp; Commercial </t>
  </si>
  <si>
    <t>Energy efficiency improvements in the Public Sector (States of Jersey)</t>
  </si>
  <si>
    <t>Energy efficiency improvements in the Private Sector</t>
  </si>
  <si>
    <t>Reducing emissions from ruminants</t>
  </si>
  <si>
    <t>Implementation of Anaerobic Digestion systems for waste management of livestock slurry by 2025</t>
  </si>
  <si>
    <t xml:space="preserve">Improved EU emissions standards for cars </t>
  </si>
  <si>
    <t>Improved EU emissions standards for vans</t>
  </si>
  <si>
    <t>Introduction of Ultra Low Emission Vehicles (ULEVs)</t>
  </si>
  <si>
    <t>Achieving Sustainable Travel Plan congestion management targets</t>
  </si>
  <si>
    <t>Achieve a modal shift away from dependence on single occupancy private car use by 2020</t>
  </si>
  <si>
    <t>Improved international operating standards for aircraft</t>
  </si>
  <si>
    <t>Liquid waste treatment options</t>
  </si>
  <si>
    <t>TOTAL CARBON SAVING FROM POLICY</t>
  </si>
  <si>
    <t>Introducing a ‘carbon-neutral’ standard for new homes through Building Bye-Laws</t>
  </si>
  <si>
    <t>GHG emissions pathway (cumulative) from interventions by decade (t/CO2eq)</t>
  </si>
  <si>
    <t>indus &amp; comm</t>
  </si>
  <si>
    <t>Transport</t>
  </si>
  <si>
    <t>Water</t>
  </si>
  <si>
    <t>Tonnes CO2 saved over lifetime</t>
  </si>
  <si>
    <t>Total CO2 savings</t>
  </si>
  <si>
    <t>domestic</t>
  </si>
  <si>
    <t>total</t>
  </si>
  <si>
    <t>total savings under curve</t>
  </si>
  <si>
    <t xml:space="preserve">total savings under curve </t>
  </si>
  <si>
    <t>totoal savings under curve</t>
  </si>
  <si>
    <t>% contribution to total CO2 savings</t>
  </si>
  <si>
    <t>risk Analysis</t>
  </si>
  <si>
    <t>Annual costs</t>
  </si>
  <si>
    <r>
      <t xml:space="preserve">Assumptions
</t>
    </r>
    <r>
      <rPr>
        <sz val="10"/>
        <color indexed="8"/>
        <rFont val="Arial"/>
        <family val="2"/>
      </rPr>
      <t xml:space="preserve">
Industry signed up to 50% (on 2005) by 2050
2005 emissions 49065
Average improvement of fuel efficiency of 1.5%/yr 2009-2020 which is 736/yr tonnes CO2 saved over decade = 7360 saved to 2020
Therafeter annual reduction to 50% on 2005 levels by 2050</t>
    </r>
    <r>
      <rPr>
        <sz val="10"/>
        <color indexed="8"/>
        <rFont val="Arial"/>
        <family val="2"/>
      </rPr>
      <t xml:space="preserve">
</t>
    </r>
  </si>
  <si>
    <t>BAU forecast 2050 emissions at net nil immigration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</si>
</sst>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quot;£&quot;#,##0"/>
    <numFmt numFmtId="168" formatCode="#,##0.0"/>
    <numFmt numFmtId="169" formatCode="[$-809]dd\ mmmm\ yyyy"/>
    <numFmt numFmtId="170" formatCode="&quot;Yes&quot;;&quot;Yes&quot;;&quot;No&quot;"/>
    <numFmt numFmtId="171" formatCode="&quot;True&quot;;&quot;True&quot;;&quot;False&quot;"/>
    <numFmt numFmtId="172" formatCode="&quot;On&quot;;&quot;On&quot;;&quot;Off&quot;"/>
    <numFmt numFmtId="173" formatCode="[$€-2]\ #,##0.00_);[Red]\([$€-2]\ #,##0.00\)"/>
    <numFmt numFmtId="174" formatCode="_(* #,##0.00_);_(* \(#,##0.00\);_(* &quot;-&quot;??_);_(@_)"/>
    <numFmt numFmtId="175" formatCode="_(* #,##0_);_(* \(#,##0\);_(* &quot;-&quot;_);_(@_)"/>
    <numFmt numFmtId="176" formatCode="_(&quot;$&quot;* #,##0.00_);_(&quot;$&quot;* \(#,##0.00\);_(&quot;$&quot;* &quot;-&quot;??_);_(@_)"/>
    <numFmt numFmtId="177" formatCode="_(&quot;$&quot;* #,##0_);_(&quot;$&quot;* \(#,##0\);_(&quot;$&quot;* &quot;-&quot;_);_(@_)"/>
  </numFmts>
  <fonts count="77">
    <font>
      <sz val="10"/>
      <color indexed="8"/>
      <name val="Arial"/>
      <family val="2"/>
    </font>
    <font>
      <b/>
      <sz val="10"/>
      <color indexed="9"/>
      <name val="Arial"/>
      <family val="2"/>
    </font>
    <font>
      <sz val="10"/>
      <color indexed="10"/>
      <name val="Arial"/>
      <family val="2"/>
    </font>
    <font>
      <b/>
      <sz val="10"/>
      <color indexed="8"/>
      <name val="Arial"/>
      <family val="2"/>
    </font>
    <font>
      <sz val="10"/>
      <color indexed="9"/>
      <name val="Arial"/>
      <family val="2"/>
    </font>
    <font>
      <vertAlign val="subscript"/>
      <sz val="10"/>
      <color indexed="8"/>
      <name val="Arial"/>
      <family val="2"/>
    </font>
    <font>
      <sz val="10"/>
      <name val="Arial"/>
      <family val="2"/>
    </font>
    <font>
      <b/>
      <sz val="10"/>
      <name val="Arial"/>
      <family val="2"/>
    </font>
    <font>
      <b/>
      <sz val="10"/>
      <color indexed="10"/>
      <name val="Arial"/>
      <family val="2"/>
    </font>
    <font>
      <sz val="8"/>
      <name val="Arial"/>
      <family val="2"/>
    </font>
    <font>
      <sz val="8"/>
      <name val="Tahoma"/>
      <family val="2"/>
    </font>
    <font>
      <b/>
      <sz val="8"/>
      <name val="Tahoma"/>
      <family val="2"/>
    </font>
    <font>
      <b/>
      <sz val="14"/>
      <color indexed="9"/>
      <name val="Arial"/>
      <family val="2"/>
    </font>
    <font>
      <sz val="14"/>
      <color indexed="9"/>
      <name val="Arial"/>
      <family val="2"/>
    </font>
    <font>
      <b/>
      <sz val="10"/>
      <color indexed="12"/>
      <name val="Arial"/>
      <family val="2"/>
    </font>
    <font>
      <b/>
      <vertAlign val="subscript"/>
      <sz val="10"/>
      <color indexed="12"/>
      <name val="Arial"/>
      <family val="2"/>
    </font>
    <font>
      <sz val="10"/>
      <color indexed="22"/>
      <name val="Arial"/>
      <family val="2"/>
    </font>
    <font>
      <b/>
      <sz val="10"/>
      <color indexed="61"/>
      <name val="Arial"/>
      <family val="2"/>
    </font>
    <font>
      <u val="single"/>
      <sz val="7.5"/>
      <color indexed="12"/>
      <name val="Arial"/>
      <family val="2"/>
    </font>
    <font>
      <u val="single"/>
      <sz val="7.5"/>
      <color indexed="36"/>
      <name val="Arial"/>
      <family val="2"/>
    </font>
    <font>
      <b/>
      <sz val="12"/>
      <name val="Tahoma"/>
      <family val="2"/>
    </font>
    <font>
      <sz val="12"/>
      <name val="Tahoma"/>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2"/>
      <name val="Arial"/>
      <family val="2"/>
    </font>
    <font>
      <sz val="26.25"/>
      <name val="Arial"/>
      <family val="0"/>
    </font>
    <font>
      <b/>
      <sz val="14"/>
      <name val="Arial"/>
      <family val="2"/>
    </font>
    <font>
      <sz val="32.5"/>
      <name val="Arial"/>
      <family val="0"/>
    </font>
    <font>
      <sz val="14.5"/>
      <name val="Arial"/>
      <family val="2"/>
    </font>
    <font>
      <sz val="11.25"/>
      <name val="Arial"/>
      <family val="0"/>
    </font>
    <font>
      <sz val="21.5"/>
      <name val="Arial"/>
      <family val="0"/>
    </font>
    <font>
      <b/>
      <sz val="14.25"/>
      <name val="Arial"/>
      <family val="2"/>
    </font>
    <font>
      <b/>
      <sz val="12"/>
      <color indexed="55"/>
      <name val="Tahoma"/>
      <family val="2"/>
    </font>
    <font>
      <b/>
      <sz val="10"/>
      <name val="Tahoma"/>
      <family val="2"/>
    </font>
    <font>
      <b/>
      <sz val="10"/>
      <color indexed="55"/>
      <name val="Tahoma"/>
      <family val="2"/>
    </font>
    <font>
      <sz val="10"/>
      <color indexed="55"/>
      <name val="Tahoma"/>
      <family val="2"/>
    </font>
    <font>
      <sz val="14"/>
      <color indexed="10"/>
      <name val="Arial"/>
      <family val="2"/>
    </font>
    <font>
      <b/>
      <sz val="12"/>
      <color indexed="8"/>
      <name val="Arial"/>
      <family val="2"/>
    </font>
    <font>
      <b/>
      <sz val="10"/>
      <color indexed="17"/>
      <name val="Arial"/>
      <family val="2"/>
    </font>
    <font>
      <i/>
      <sz val="10"/>
      <color indexed="8"/>
      <name val="Arial"/>
      <family val="2"/>
    </font>
    <font>
      <sz val="12"/>
      <color indexed="8"/>
      <name val="Arial"/>
      <family val="2"/>
    </font>
    <font>
      <i/>
      <sz val="10"/>
      <name val="Arial"/>
      <family val="2"/>
    </font>
    <font>
      <sz val="10"/>
      <color indexed="23"/>
      <name val="Arial"/>
      <family val="2"/>
    </font>
    <font>
      <b/>
      <sz val="10"/>
      <color indexed="23"/>
      <name val="Arial"/>
      <family val="2"/>
    </font>
    <font>
      <b/>
      <sz val="12"/>
      <color indexed="23"/>
      <name val="Arial"/>
      <family val="2"/>
    </font>
    <font>
      <sz val="12"/>
      <color indexed="23"/>
      <name val="Arial"/>
      <family val="2"/>
    </font>
    <font>
      <sz val="10"/>
      <color indexed="12"/>
      <name val="Arial"/>
      <family val="2"/>
    </font>
    <font>
      <sz val="11"/>
      <name val="Arial"/>
      <family val="2"/>
    </font>
    <font>
      <sz val="14.25"/>
      <name val="Arial"/>
      <family val="0"/>
    </font>
    <font>
      <sz val="14"/>
      <name val="Arial"/>
      <family val="0"/>
    </font>
    <font>
      <sz val="10"/>
      <color indexed="57"/>
      <name val="Arial"/>
      <family val="2"/>
    </font>
    <font>
      <sz val="10.5"/>
      <name val="Arial"/>
      <family val="0"/>
    </font>
    <font>
      <b/>
      <sz val="12"/>
      <name val="Arial"/>
      <family val="2"/>
    </font>
    <font>
      <b/>
      <vertAlign val="subscript"/>
      <sz val="10"/>
      <color indexed="8"/>
      <name val="Arial"/>
      <family val="2"/>
    </font>
    <font>
      <b/>
      <u val="single"/>
      <sz val="10"/>
      <color indexed="9"/>
      <name val="Arial"/>
      <family val="2"/>
    </font>
    <font>
      <b/>
      <sz val="12"/>
      <color indexed="9"/>
      <name val="Arial"/>
      <family val="2"/>
    </font>
    <font>
      <sz val="12"/>
      <color indexed="10"/>
      <name val="Arial"/>
      <family val="2"/>
    </font>
    <font>
      <sz val="11.5"/>
      <name val="Arial"/>
      <family val="0"/>
    </font>
    <font>
      <b/>
      <sz val="11"/>
      <name val="Arial"/>
      <family val="2"/>
    </font>
    <font>
      <b/>
      <sz val="8"/>
      <name val="Arial"/>
      <family val="0"/>
    </font>
    <font>
      <b/>
      <sz val="8"/>
      <color indexed="10"/>
      <name val="Arial"/>
      <family val="0"/>
    </font>
    <font>
      <sz val="10"/>
      <color indexed="55"/>
      <name val="Arial"/>
      <family val="0"/>
    </font>
    <font>
      <b/>
      <sz val="10"/>
      <color indexed="22"/>
      <name val="Arial"/>
      <family val="0"/>
    </font>
    <font>
      <b/>
      <sz val="8"/>
      <color indexed="9"/>
      <name val="Arial"/>
      <family val="0"/>
    </font>
    <font>
      <b/>
      <sz val="12"/>
      <color indexed="10"/>
      <name val="Arial"/>
      <family val="2"/>
    </font>
    <font>
      <b/>
      <sz val="10"/>
      <color indexed="55"/>
      <name val="Arial"/>
      <family val="2"/>
    </font>
    <font>
      <b/>
      <u val="single"/>
      <sz val="10"/>
      <color indexed="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6"/>
        <bgColor indexed="64"/>
      </patternFill>
    </fill>
    <fill>
      <patternFill patternType="solid">
        <fgColor indexed="12"/>
        <bgColor indexed="64"/>
      </patternFill>
    </fill>
    <fill>
      <patternFill patternType="solid">
        <fgColor indexed="21"/>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3"/>
        <bgColor indexed="64"/>
      </patternFill>
    </fill>
    <fill>
      <patternFill patternType="solid">
        <fgColor indexed="14"/>
        <bgColor indexed="64"/>
      </patternFill>
    </fill>
  </fills>
  <borders count="1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style="medium"/>
      <top style="medium"/>
      <bottom style="medium"/>
    </border>
    <border>
      <left style="thin">
        <color indexed="8"/>
      </left>
      <right style="medium"/>
      <top style="thin">
        <color indexed="8"/>
      </top>
      <bottom>
        <color indexed="63"/>
      </bottom>
    </border>
    <border>
      <left style="thin">
        <color indexed="8"/>
      </left>
      <right style="medium"/>
      <top style="thin"/>
      <bottom>
        <color indexed="63"/>
      </bottom>
    </border>
    <border>
      <left style="thin">
        <color indexed="8"/>
      </left>
      <right style="medium"/>
      <top>
        <color indexed="63"/>
      </top>
      <bottom>
        <color indexed="63"/>
      </bottom>
    </border>
    <border>
      <left style="medium"/>
      <right style="medium"/>
      <top style="thin">
        <color indexed="8"/>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style="thin">
        <color indexed="8"/>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medium"/>
      <top>
        <color indexed="63"/>
      </top>
      <bottom style="thin"/>
    </border>
    <border>
      <left style="medium"/>
      <right style="medium"/>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medium"/>
      <right>
        <color indexed="63"/>
      </right>
      <top style="medium"/>
      <bottom>
        <color indexed="63"/>
      </bottom>
    </border>
    <border>
      <left style="medium"/>
      <right>
        <color indexed="63"/>
      </right>
      <top>
        <color indexed="63"/>
      </top>
      <bottom style="medium"/>
    </border>
    <border>
      <left style="double"/>
      <right style="double"/>
      <top style="double"/>
      <bottom>
        <color indexed="63"/>
      </bottom>
    </border>
    <border>
      <left style="double"/>
      <right style="double"/>
      <top>
        <color indexed="63"/>
      </top>
      <bottom>
        <color indexed="63"/>
      </bottom>
    </border>
    <border>
      <left>
        <color indexed="63"/>
      </left>
      <right style="double"/>
      <top style="double"/>
      <bottom>
        <color indexed="63"/>
      </bottom>
    </border>
    <border>
      <left style="double"/>
      <right style="double"/>
      <top>
        <color indexed="63"/>
      </top>
      <bottom style="double"/>
    </border>
    <border>
      <left style="double"/>
      <right>
        <color indexed="63"/>
      </right>
      <top>
        <color indexed="63"/>
      </top>
      <bottom style="double"/>
    </border>
    <border>
      <left style="medium"/>
      <right style="double"/>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thin"/>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color indexed="63"/>
      </left>
      <right style="thin"/>
      <top style="thin"/>
      <bottom style="medium"/>
    </border>
    <border>
      <left style="medium">
        <color indexed="47"/>
      </left>
      <right style="medium">
        <color indexed="47"/>
      </right>
      <top style="medium">
        <color indexed="47"/>
      </top>
      <bottom style="medium">
        <color indexed="47"/>
      </bottom>
    </border>
    <border>
      <left style="medium">
        <color indexed="47"/>
      </left>
      <right style="medium">
        <color indexed="47"/>
      </right>
      <top>
        <color indexed="63"/>
      </top>
      <bottom style="medium">
        <color indexed="47"/>
      </bottom>
    </border>
    <border>
      <left>
        <color indexed="63"/>
      </left>
      <right style="medium">
        <color indexed="47"/>
      </right>
      <top>
        <color indexed="63"/>
      </top>
      <bottom style="medium">
        <color indexed="47"/>
      </bottom>
    </border>
    <border>
      <left>
        <color indexed="63"/>
      </left>
      <right style="medium">
        <color indexed="47"/>
      </right>
      <top style="medium">
        <color indexed="47"/>
      </top>
      <bottom style="medium">
        <color indexed="47"/>
      </bottom>
    </border>
    <border>
      <left>
        <color indexed="63"/>
      </left>
      <right style="medium"/>
      <top style="thin"/>
      <bottom style="double"/>
    </border>
    <border>
      <left style="medium"/>
      <right style="medium"/>
      <top style="thin"/>
      <bottom style="double"/>
    </border>
    <border>
      <left>
        <color indexed="63"/>
      </left>
      <right>
        <color indexed="63"/>
      </right>
      <top style="thin"/>
      <bottom style="double"/>
    </border>
    <border>
      <left style="medium"/>
      <right>
        <color indexed="63"/>
      </right>
      <top style="thin"/>
      <bottom style="double"/>
    </border>
    <border>
      <left style="medium"/>
      <right>
        <color indexed="63"/>
      </right>
      <top style="medium"/>
      <bottom style="thin"/>
    </border>
    <border>
      <left>
        <color indexed="63"/>
      </left>
      <right style="medium"/>
      <top style="medium"/>
      <bottom style="thin"/>
    </border>
    <border>
      <left style="medium"/>
      <right style="medium"/>
      <top style="medium"/>
      <bottom style="thin"/>
    </border>
    <border>
      <left>
        <color indexed="63"/>
      </left>
      <right>
        <color indexed="63"/>
      </right>
      <top style="medium"/>
      <bottom style="thin"/>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style="medium">
        <color indexed="47"/>
      </left>
      <right style="medium">
        <color indexed="47"/>
      </right>
      <top>
        <color indexed="63"/>
      </top>
      <bottom>
        <color indexed="63"/>
      </bottom>
    </border>
    <border>
      <left style="medium"/>
      <right style="medium">
        <color indexed="47"/>
      </right>
      <top style="medium"/>
      <bottom style="medium"/>
    </border>
    <border>
      <left>
        <color indexed="63"/>
      </left>
      <right style="medium">
        <color indexed="54"/>
      </right>
      <top style="medium">
        <color indexed="54"/>
      </top>
      <bottom>
        <color indexed="63"/>
      </bottom>
    </border>
    <border>
      <left>
        <color indexed="63"/>
      </left>
      <right style="medium">
        <color indexed="54"/>
      </right>
      <top>
        <color indexed="63"/>
      </top>
      <bottom style="medium">
        <color indexed="54"/>
      </bottom>
    </border>
    <border>
      <left>
        <color indexed="63"/>
      </left>
      <right style="medium">
        <color indexed="54"/>
      </right>
      <top>
        <color indexed="63"/>
      </top>
      <bottom>
        <color indexed="63"/>
      </bottom>
    </border>
    <border>
      <left style="medium">
        <color indexed="54"/>
      </left>
      <right style="medium">
        <color indexed="54"/>
      </right>
      <top>
        <color indexed="63"/>
      </top>
      <bottom style="medium">
        <color indexed="54"/>
      </bottom>
    </border>
    <border>
      <left style="medium">
        <color indexed="54"/>
      </left>
      <right style="medium">
        <color indexed="54"/>
      </right>
      <top style="medium">
        <color indexed="54"/>
      </top>
      <bottom style="thin"/>
    </border>
    <border>
      <left style="medium">
        <color indexed="54"/>
      </left>
      <right style="thin"/>
      <top style="medium">
        <color indexed="54"/>
      </top>
      <bottom>
        <color indexed="63"/>
      </bottom>
    </border>
    <border>
      <left style="medium">
        <color indexed="54"/>
      </left>
      <right style="thin"/>
      <top>
        <color indexed="63"/>
      </top>
      <bottom>
        <color indexed="63"/>
      </bottom>
    </border>
    <border>
      <left style="medium">
        <color indexed="54"/>
      </left>
      <right style="thin"/>
      <top>
        <color indexed="63"/>
      </top>
      <bottom style="thin"/>
    </border>
    <border>
      <left>
        <color indexed="63"/>
      </left>
      <right style="medium">
        <color indexed="54"/>
      </right>
      <top>
        <color indexed="63"/>
      </top>
      <bottom style="thin"/>
    </border>
    <border>
      <left style="medium">
        <color indexed="54"/>
      </left>
      <right style="thin"/>
      <top style="thin"/>
      <bottom style="thin"/>
    </border>
    <border>
      <left>
        <color indexed="63"/>
      </left>
      <right style="medium">
        <color indexed="54"/>
      </right>
      <top style="thin"/>
      <bottom style="thin"/>
    </border>
    <border>
      <left style="medium">
        <color indexed="54"/>
      </left>
      <right style="medium">
        <color indexed="54"/>
      </right>
      <top style="thin"/>
      <bottom style="thin"/>
    </border>
    <border>
      <left style="medium">
        <color indexed="47"/>
      </left>
      <right>
        <color indexed="63"/>
      </right>
      <top style="medium">
        <color indexed="47"/>
      </top>
      <bottom style="medium">
        <color indexed="47"/>
      </bottom>
    </border>
    <border>
      <left>
        <color indexed="63"/>
      </left>
      <right>
        <color indexed="63"/>
      </right>
      <top style="medium">
        <color indexed="47"/>
      </top>
      <bottom style="medium">
        <color indexed="47"/>
      </bottom>
    </border>
    <border>
      <left>
        <color indexed="63"/>
      </left>
      <right style="thin"/>
      <top>
        <color indexed="63"/>
      </top>
      <bottom style="thin"/>
    </border>
    <border>
      <left style="medium">
        <color indexed="54"/>
      </left>
      <right style="medium">
        <color indexed="54"/>
      </right>
      <top style="medium">
        <color indexed="54"/>
      </top>
      <bottom>
        <color indexed="63"/>
      </bottom>
    </border>
    <border>
      <left style="medium">
        <color indexed="54"/>
      </left>
      <right style="medium">
        <color indexed="54"/>
      </right>
      <top>
        <color indexed="63"/>
      </top>
      <bottom>
        <color indexed="63"/>
      </bottom>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 fillId="0" borderId="9" applyNumberFormat="0" applyFill="0" applyAlignment="0" applyProtection="0"/>
    <xf numFmtId="0" fontId="2" fillId="0" borderId="0" applyNumberFormat="0" applyFill="0" applyBorder="0" applyAlignment="0" applyProtection="0"/>
  </cellStyleXfs>
  <cellXfs count="821">
    <xf numFmtId="0" fontId="0" fillId="0" borderId="0" xfId="0"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0" xfId="0" applyFill="1" applyBorder="1" applyAlignment="1">
      <alignment/>
    </xf>
    <xf numFmtId="0" fontId="0" fillId="0" borderId="15" xfId="0" applyFill="1" applyBorder="1" applyAlignment="1">
      <alignment/>
    </xf>
    <xf numFmtId="166" fontId="0" fillId="0" borderId="11" xfId="0" applyNumberFormat="1" applyFill="1" applyBorder="1" applyAlignment="1">
      <alignment/>
    </xf>
    <xf numFmtId="166" fontId="0" fillId="0" borderId="0" xfId="0" applyNumberFormat="1" applyFill="1" applyAlignment="1">
      <alignment/>
    </xf>
    <xf numFmtId="166" fontId="0" fillId="0" borderId="15" xfId="0" applyNumberFormat="1" applyFill="1" applyBorder="1" applyAlignment="1">
      <alignment/>
    </xf>
    <xf numFmtId="0" fontId="12" fillId="24" borderId="0" xfId="0" applyFont="1" applyFill="1" applyAlignment="1">
      <alignment/>
    </xf>
    <xf numFmtId="0" fontId="13" fillId="24" borderId="0" xfId="0" applyFont="1" applyFill="1" applyAlignment="1">
      <alignment/>
    </xf>
    <xf numFmtId="0" fontId="4" fillId="25" borderId="10" xfId="0" applyFont="1" applyFill="1" applyBorder="1" applyAlignment="1">
      <alignment/>
    </xf>
    <xf numFmtId="0" fontId="4" fillId="25" borderId="16" xfId="0" applyFont="1" applyFill="1" applyBorder="1" applyAlignment="1">
      <alignment/>
    </xf>
    <xf numFmtId="0" fontId="4" fillId="25" borderId="17" xfId="0" applyFont="1" applyFill="1" applyBorder="1" applyAlignment="1">
      <alignment/>
    </xf>
    <xf numFmtId="0" fontId="14" fillId="0" borderId="0" xfId="0" applyFont="1" applyFill="1" applyAlignment="1">
      <alignment/>
    </xf>
    <xf numFmtId="0" fontId="0" fillId="0" borderId="18" xfId="0" applyBorder="1" applyAlignment="1">
      <alignment/>
    </xf>
    <xf numFmtId="0" fontId="0" fillId="0" borderId="19" xfId="0" applyBorder="1" applyAlignment="1">
      <alignment/>
    </xf>
    <xf numFmtId="3" fontId="0" fillId="0" borderId="20" xfId="0" applyNumberFormat="1" applyFill="1" applyBorder="1" applyAlignment="1">
      <alignment/>
    </xf>
    <xf numFmtId="0" fontId="0" fillId="0" borderId="0" xfId="0" applyBorder="1" applyAlignment="1">
      <alignment/>
    </xf>
    <xf numFmtId="3" fontId="0" fillId="0" borderId="0" xfId="0" applyNumberFormat="1" applyFill="1" applyBorder="1" applyAlignment="1">
      <alignment/>
    </xf>
    <xf numFmtId="0" fontId="4" fillId="25" borderId="12" xfId="0" applyFont="1" applyFill="1" applyBorder="1" applyAlignment="1">
      <alignment/>
    </xf>
    <xf numFmtId="166" fontId="0" fillId="0" borderId="0" xfId="0" applyNumberFormat="1" applyFill="1" applyBorder="1" applyAlignment="1">
      <alignment/>
    </xf>
    <xf numFmtId="0" fontId="0" fillId="0" borderId="21" xfId="0" applyBorder="1" applyAlignment="1">
      <alignment/>
    </xf>
    <xf numFmtId="0" fontId="0" fillId="0" borderId="22" xfId="0" applyFill="1" applyBorder="1" applyAlignment="1">
      <alignment/>
    </xf>
    <xf numFmtId="3" fontId="0" fillId="0" borderId="23" xfId="0" applyNumberFormat="1" applyFill="1" applyBorder="1" applyAlignment="1">
      <alignment/>
    </xf>
    <xf numFmtId="3" fontId="0" fillId="0" borderId="22" xfId="0" applyNumberFormat="1" applyFill="1" applyBorder="1" applyAlignment="1">
      <alignment/>
    </xf>
    <xf numFmtId="0" fontId="0" fillId="4" borderId="24" xfId="0" applyFill="1" applyBorder="1" applyAlignment="1">
      <alignment/>
    </xf>
    <xf numFmtId="0" fontId="0" fillId="4" borderId="25" xfId="0" applyFill="1" applyBorder="1" applyAlignment="1">
      <alignment/>
    </xf>
    <xf numFmtId="0" fontId="0" fillId="4" borderId="23" xfId="0" applyFill="1" applyBorder="1" applyAlignment="1">
      <alignment/>
    </xf>
    <xf numFmtId="0" fontId="0" fillId="4" borderId="26" xfId="0" applyFill="1" applyBorder="1" applyAlignment="1">
      <alignment/>
    </xf>
    <xf numFmtId="0" fontId="0" fillId="0" borderId="27" xfId="0" applyFill="1" applyBorder="1" applyAlignment="1">
      <alignment/>
    </xf>
    <xf numFmtId="0" fontId="0" fillId="0" borderId="20" xfId="0" applyFill="1" applyBorder="1" applyAlignment="1">
      <alignment/>
    </xf>
    <xf numFmtId="0" fontId="0" fillId="0" borderId="23" xfId="0" applyFill="1" applyBorder="1" applyAlignment="1">
      <alignment/>
    </xf>
    <xf numFmtId="0" fontId="16" fillId="0" borderId="0" xfId="0" applyFont="1" applyAlignment="1">
      <alignment/>
    </xf>
    <xf numFmtId="0" fontId="0" fillId="20" borderId="23" xfId="0" applyFill="1" applyBorder="1" applyAlignment="1">
      <alignment/>
    </xf>
    <xf numFmtId="0" fontId="0" fillId="20" borderId="22" xfId="0" applyFill="1" applyBorder="1" applyAlignment="1">
      <alignment/>
    </xf>
    <xf numFmtId="3" fontId="0" fillId="20" borderId="23" xfId="0" applyNumberFormat="1" applyFill="1" applyBorder="1" applyAlignment="1">
      <alignment/>
    </xf>
    <xf numFmtId="3" fontId="0" fillId="20" borderId="22" xfId="0" applyNumberFormat="1" applyFill="1" applyBorder="1" applyAlignment="1">
      <alignment/>
    </xf>
    <xf numFmtId="0" fontId="0" fillId="20" borderId="24" xfId="0" applyFill="1" applyBorder="1" applyAlignment="1">
      <alignment/>
    </xf>
    <xf numFmtId="0" fontId="0" fillId="20" borderId="11" xfId="0" applyFill="1" applyBorder="1" applyAlignment="1">
      <alignment/>
    </xf>
    <xf numFmtId="0" fontId="0" fillId="20" borderId="28" xfId="0" applyFill="1" applyBorder="1" applyAlignment="1">
      <alignment/>
    </xf>
    <xf numFmtId="3" fontId="0" fillId="20" borderId="28" xfId="0" applyNumberFormat="1" applyFill="1" applyBorder="1" applyAlignment="1">
      <alignment/>
    </xf>
    <xf numFmtId="3" fontId="0" fillId="20" borderId="29" xfId="0" applyNumberFormat="1" applyFill="1" applyBorder="1" applyAlignment="1">
      <alignment/>
    </xf>
    <xf numFmtId="0" fontId="0" fillId="20" borderId="26" xfId="0" applyFill="1" applyBorder="1" applyAlignment="1">
      <alignment/>
    </xf>
    <xf numFmtId="0" fontId="0" fillId="20" borderId="0" xfId="0" applyFill="1" applyBorder="1" applyAlignment="1">
      <alignment/>
    </xf>
    <xf numFmtId="0" fontId="0" fillId="20" borderId="20" xfId="0" applyFill="1" applyBorder="1" applyAlignment="1">
      <alignment/>
    </xf>
    <xf numFmtId="3" fontId="0" fillId="20" borderId="20" xfId="0" applyNumberFormat="1" applyFill="1" applyBorder="1" applyAlignment="1">
      <alignment/>
    </xf>
    <xf numFmtId="3" fontId="0" fillId="20" borderId="0" xfId="0" applyNumberFormat="1" applyFill="1" applyBorder="1" applyAlignment="1">
      <alignment/>
    </xf>
    <xf numFmtId="0" fontId="4" fillId="25" borderId="30" xfId="0" applyFont="1" applyFill="1" applyBorder="1" applyAlignment="1">
      <alignment wrapText="1"/>
    </xf>
    <xf numFmtId="0" fontId="4" fillId="25" borderId="31" xfId="0" applyFont="1" applyFill="1" applyBorder="1" applyAlignment="1">
      <alignment wrapText="1"/>
    </xf>
    <xf numFmtId="0" fontId="4" fillId="25" borderId="22" xfId="0" applyFont="1" applyFill="1" applyBorder="1" applyAlignment="1">
      <alignment wrapText="1"/>
    </xf>
    <xf numFmtId="0" fontId="4" fillId="25" borderId="32" xfId="0" applyFont="1" applyFill="1" applyBorder="1" applyAlignment="1">
      <alignment wrapText="1"/>
    </xf>
    <xf numFmtId="0" fontId="4" fillId="25" borderId="33" xfId="0" applyFont="1" applyFill="1" applyBorder="1" applyAlignment="1">
      <alignment wrapText="1"/>
    </xf>
    <xf numFmtId="0" fontId="0" fillId="0" borderId="0" xfId="0" applyAlignment="1">
      <alignment wrapText="1"/>
    </xf>
    <xf numFmtId="0" fontId="1" fillId="26" borderId="26" xfId="0" applyFont="1" applyFill="1" applyBorder="1" applyAlignment="1">
      <alignment wrapText="1"/>
    </xf>
    <xf numFmtId="0" fontId="1" fillId="26" borderId="0" xfId="0" applyFont="1" applyFill="1" applyBorder="1" applyAlignment="1">
      <alignment wrapText="1"/>
    </xf>
    <xf numFmtId="0" fontId="1" fillId="26" borderId="28" xfId="0" applyFont="1" applyFill="1" applyBorder="1" applyAlignment="1">
      <alignment wrapText="1"/>
    </xf>
    <xf numFmtId="0" fontId="1" fillId="26" borderId="23" xfId="0" applyFont="1" applyFill="1" applyBorder="1" applyAlignment="1">
      <alignment wrapText="1"/>
    </xf>
    <xf numFmtId="0" fontId="1" fillId="26" borderId="30" xfId="0" applyFont="1" applyFill="1" applyBorder="1" applyAlignment="1">
      <alignment wrapText="1"/>
    </xf>
    <xf numFmtId="0" fontId="1" fillId="26" borderId="22" xfId="0" applyFont="1" applyFill="1" applyBorder="1" applyAlignment="1">
      <alignment wrapText="1"/>
    </xf>
    <xf numFmtId="0" fontId="0" fillId="0" borderId="0" xfId="0" applyBorder="1" applyAlignment="1">
      <alignment wrapText="1"/>
    </xf>
    <xf numFmtId="3" fontId="0" fillId="0" borderId="0" xfId="0" applyNumberFormat="1" applyAlignment="1">
      <alignment/>
    </xf>
    <xf numFmtId="0" fontId="17" fillId="0" borderId="0" xfId="0" applyFont="1" applyAlignment="1">
      <alignment/>
    </xf>
    <xf numFmtId="0" fontId="0" fillId="0" borderId="34" xfId="0" applyFill="1" applyBorder="1" applyAlignment="1">
      <alignment/>
    </xf>
    <xf numFmtId="0" fontId="0" fillId="0" borderId="35" xfId="0" applyFill="1" applyBorder="1" applyAlignment="1">
      <alignment/>
    </xf>
    <xf numFmtId="3" fontId="0" fillId="0" borderId="34" xfId="0" applyNumberFormat="1" applyBorder="1" applyAlignment="1">
      <alignment/>
    </xf>
    <xf numFmtId="0" fontId="0" fillId="20" borderId="36" xfId="0" applyFill="1" applyBorder="1" applyAlignment="1">
      <alignment/>
    </xf>
    <xf numFmtId="3" fontId="0" fillId="20" borderId="37" xfId="0" applyNumberFormat="1" applyFill="1" applyBorder="1" applyAlignment="1">
      <alignment/>
    </xf>
    <xf numFmtId="0" fontId="0" fillId="0" borderId="34" xfId="0" applyBorder="1" applyAlignment="1">
      <alignment/>
    </xf>
    <xf numFmtId="3" fontId="0" fillId="0" borderId="38" xfId="0" applyNumberFormat="1" applyBorder="1" applyAlignment="1">
      <alignment/>
    </xf>
    <xf numFmtId="3" fontId="0" fillId="0" borderId="39" xfId="0" applyNumberFormat="1" applyBorder="1" applyAlignment="1">
      <alignment/>
    </xf>
    <xf numFmtId="3" fontId="0" fillId="0" borderId="40" xfId="0" applyNumberFormat="1" applyBorder="1" applyAlignment="1">
      <alignment/>
    </xf>
    <xf numFmtId="3" fontId="0" fillId="20" borderId="41" xfId="0" applyNumberFormat="1" applyFill="1" applyBorder="1" applyAlignment="1">
      <alignment/>
    </xf>
    <xf numFmtId="0" fontId="17" fillId="0" borderId="37" xfId="0" applyFont="1"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37" xfId="0" applyBorder="1" applyAlignment="1">
      <alignment/>
    </xf>
    <xf numFmtId="0" fontId="0" fillId="0" borderId="45" xfId="0" applyBorder="1" applyAlignment="1">
      <alignment/>
    </xf>
    <xf numFmtId="3" fontId="3" fillId="0" borderId="0" xfId="0" applyNumberFormat="1" applyFont="1" applyAlignment="1">
      <alignment/>
    </xf>
    <xf numFmtId="0" fontId="2" fillId="0" borderId="0" xfId="0" applyFont="1" applyAlignment="1">
      <alignment/>
    </xf>
    <xf numFmtId="0" fontId="2" fillId="0" borderId="0" xfId="0" applyFont="1" applyBorder="1" applyAlignment="1">
      <alignment/>
    </xf>
    <xf numFmtId="0" fontId="0" fillId="4" borderId="0" xfId="0" applyFill="1" applyAlignment="1">
      <alignment/>
    </xf>
    <xf numFmtId="3" fontId="0" fillId="4" borderId="0" xfId="0" applyNumberFormat="1" applyFill="1" applyAlignment="1">
      <alignment/>
    </xf>
    <xf numFmtId="3" fontId="3" fillId="0" borderId="0" xfId="0" applyNumberFormat="1" applyFont="1" applyBorder="1" applyAlignment="1">
      <alignment/>
    </xf>
    <xf numFmtId="1" fontId="3" fillId="0" borderId="0" xfId="0" applyNumberFormat="1" applyFont="1" applyBorder="1" applyAlignment="1">
      <alignment/>
    </xf>
    <xf numFmtId="3" fontId="0" fillId="0" borderId="0" xfId="0" applyNumberFormat="1" applyAlignment="1">
      <alignment horizontal="center"/>
    </xf>
    <xf numFmtId="0" fontId="0" fillId="0" borderId="0" xfId="0" applyAlignment="1">
      <alignment/>
    </xf>
    <xf numFmtId="0" fontId="13" fillId="24" borderId="0" xfId="0" applyFont="1" applyFill="1" applyAlignment="1">
      <alignment/>
    </xf>
    <xf numFmtId="166" fontId="0" fillId="0" borderId="46" xfId="0" applyNumberFormat="1" applyFill="1" applyBorder="1" applyAlignment="1">
      <alignment/>
    </xf>
    <xf numFmtId="166" fontId="0" fillId="0" borderId="13" xfId="0" applyNumberFormat="1" applyFill="1" applyBorder="1" applyAlignment="1">
      <alignment/>
    </xf>
    <xf numFmtId="166" fontId="0" fillId="0" borderId="14" xfId="0" applyNumberFormat="1" applyFill="1" applyBorder="1" applyAlignment="1">
      <alignment/>
    </xf>
    <xf numFmtId="0" fontId="2" fillId="0" borderId="0" xfId="0" applyFont="1" applyAlignment="1">
      <alignment/>
    </xf>
    <xf numFmtId="3" fontId="0" fillId="0" borderId="20" xfId="0" applyNumberFormat="1" applyFill="1" applyBorder="1" applyAlignment="1">
      <alignment/>
    </xf>
    <xf numFmtId="3" fontId="0" fillId="20" borderId="23" xfId="0" applyNumberFormat="1" applyFill="1" applyBorder="1" applyAlignment="1">
      <alignment/>
    </xf>
    <xf numFmtId="3" fontId="0" fillId="20" borderId="28" xfId="0" applyNumberFormat="1" applyFill="1" applyBorder="1" applyAlignment="1">
      <alignment/>
    </xf>
    <xf numFmtId="3" fontId="0" fillId="20" borderId="20" xfId="0" applyNumberFormat="1" applyFill="1" applyBorder="1" applyAlignment="1">
      <alignment/>
    </xf>
    <xf numFmtId="3" fontId="0" fillId="0" borderId="23" xfId="0" applyNumberFormat="1" applyFill="1" applyBorder="1" applyAlignment="1">
      <alignment/>
    </xf>
    <xf numFmtId="0" fontId="0" fillId="0" borderId="34" xfId="0" applyBorder="1" applyAlignment="1">
      <alignment/>
    </xf>
    <xf numFmtId="0" fontId="17" fillId="0" borderId="34" xfId="0" applyFont="1" applyBorder="1" applyAlignment="1">
      <alignment/>
    </xf>
    <xf numFmtId="3" fontId="0" fillId="0" borderId="0" xfId="0" applyNumberFormat="1" applyAlignment="1">
      <alignment/>
    </xf>
    <xf numFmtId="3" fontId="0" fillId="0" borderId="34" xfId="0" applyNumberFormat="1" applyBorder="1" applyAlignment="1">
      <alignment/>
    </xf>
    <xf numFmtId="3" fontId="0" fillId="20" borderId="37" xfId="0" applyNumberFormat="1" applyFill="1" applyBorder="1" applyAlignment="1">
      <alignment/>
    </xf>
    <xf numFmtId="3" fontId="3" fillId="0" borderId="0" xfId="0" applyNumberFormat="1" applyFont="1" applyAlignment="1">
      <alignment/>
    </xf>
    <xf numFmtId="3" fontId="0" fillId="4" borderId="0" xfId="0" applyNumberFormat="1" applyFill="1" applyAlignment="1">
      <alignment/>
    </xf>
    <xf numFmtId="0" fontId="7" fillId="22" borderId="23" xfId="0" applyFont="1" applyFill="1" applyBorder="1" applyAlignment="1">
      <alignment wrapText="1"/>
    </xf>
    <xf numFmtId="0" fontId="0" fillId="22" borderId="27" xfId="0" applyFill="1" applyBorder="1" applyAlignment="1">
      <alignment/>
    </xf>
    <xf numFmtId="0" fontId="0" fillId="22" borderId="20" xfId="0" applyFill="1" applyBorder="1" applyAlignment="1">
      <alignment/>
    </xf>
    <xf numFmtId="0" fontId="0" fillId="0" borderId="0" xfId="0" applyFill="1" applyAlignment="1">
      <alignment/>
    </xf>
    <xf numFmtId="0" fontId="7" fillId="0" borderId="0" xfId="0" applyFont="1" applyFill="1" applyBorder="1" applyAlignment="1">
      <alignment wrapText="1"/>
    </xf>
    <xf numFmtId="0" fontId="0" fillId="0" borderId="29" xfId="0" applyBorder="1" applyAlignment="1">
      <alignment/>
    </xf>
    <xf numFmtId="0" fontId="0" fillId="0" borderId="29" xfId="0" applyBorder="1" applyAlignment="1">
      <alignment/>
    </xf>
    <xf numFmtId="3" fontId="0" fillId="20" borderId="47" xfId="0" applyNumberFormat="1" applyFill="1" applyBorder="1" applyAlignment="1">
      <alignment/>
    </xf>
    <xf numFmtId="3" fontId="0" fillId="20" borderId="48" xfId="0" applyNumberFormat="1" applyFill="1" applyBorder="1" applyAlignment="1">
      <alignment/>
    </xf>
    <xf numFmtId="0" fontId="0" fillId="20" borderId="18" xfId="0" applyFill="1" applyBorder="1" applyAlignment="1">
      <alignment/>
    </xf>
    <xf numFmtId="1" fontId="0" fillId="0" borderId="0" xfId="0" applyNumberFormat="1" applyAlignment="1">
      <alignment/>
    </xf>
    <xf numFmtId="3" fontId="0" fillId="4" borderId="20" xfId="0" applyNumberFormat="1" applyFill="1" applyBorder="1" applyAlignment="1">
      <alignment/>
    </xf>
    <xf numFmtId="3" fontId="0" fillId="4" borderId="20" xfId="0" applyNumberFormat="1" applyFill="1" applyBorder="1" applyAlignment="1">
      <alignment/>
    </xf>
    <xf numFmtId="3" fontId="0" fillId="4" borderId="18" xfId="0" applyNumberFormat="1" applyFill="1" applyBorder="1" applyAlignment="1">
      <alignment/>
    </xf>
    <xf numFmtId="3" fontId="0" fillId="4" borderId="47" xfId="0" applyNumberFormat="1" applyFill="1" applyBorder="1" applyAlignment="1">
      <alignment/>
    </xf>
    <xf numFmtId="3" fontId="0" fillId="4" borderId="47" xfId="0" applyNumberFormat="1" applyFill="1" applyBorder="1" applyAlignment="1">
      <alignment/>
    </xf>
    <xf numFmtId="3" fontId="6" fillId="4" borderId="18" xfId="0" applyNumberFormat="1" applyFont="1" applyFill="1" applyBorder="1" applyAlignment="1">
      <alignment/>
    </xf>
    <xf numFmtId="0" fontId="0" fillId="27" borderId="20" xfId="0" applyFill="1" applyBorder="1" applyAlignment="1">
      <alignment/>
    </xf>
    <xf numFmtId="166" fontId="0" fillId="0" borderId="0" xfId="0" applyNumberFormat="1" applyBorder="1" applyAlignment="1">
      <alignment/>
    </xf>
    <xf numFmtId="166" fontId="0" fillId="0" borderId="29" xfId="0" applyNumberFormat="1" applyBorder="1" applyAlignment="1">
      <alignment/>
    </xf>
    <xf numFmtId="166" fontId="0" fillId="0" borderId="49" xfId="0" applyNumberFormat="1" applyBorder="1" applyAlignment="1">
      <alignment/>
    </xf>
    <xf numFmtId="166" fontId="0" fillId="0" borderId="18" xfId="0" applyNumberFormat="1" applyBorder="1" applyAlignment="1">
      <alignment/>
    </xf>
    <xf numFmtId="166" fontId="0" fillId="0" borderId="34" xfId="0" applyNumberFormat="1" applyBorder="1" applyAlignment="1">
      <alignment/>
    </xf>
    <xf numFmtId="166" fontId="0" fillId="0" borderId="50" xfId="0" applyNumberFormat="1" applyBorder="1" applyAlignment="1">
      <alignment/>
    </xf>
    <xf numFmtId="166" fontId="0" fillId="0" borderId="37" xfId="0" applyNumberFormat="1" applyBorder="1" applyAlignment="1">
      <alignment/>
    </xf>
    <xf numFmtId="166" fontId="0" fillId="0" borderId="51" xfId="0" applyNumberFormat="1" applyBorder="1" applyAlignment="1">
      <alignment/>
    </xf>
    <xf numFmtId="166" fontId="0" fillId="0" borderId="52" xfId="0" applyNumberFormat="1" applyBorder="1" applyAlignment="1">
      <alignment/>
    </xf>
    <xf numFmtId="166" fontId="0" fillId="0" borderId="53" xfId="0" applyNumberFormat="1" applyBorder="1" applyAlignment="1">
      <alignment/>
    </xf>
    <xf numFmtId="0" fontId="7" fillId="0" borderId="0" xfId="0" applyFont="1" applyAlignment="1">
      <alignment wrapText="1"/>
    </xf>
    <xf numFmtId="0" fontId="0" fillId="0" borderId="0" xfId="0" applyAlignment="1">
      <alignment/>
    </xf>
    <xf numFmtId="0" fontId="0" fillId="0" borderId="0" xfId="0" applyNumberFormat="1" applyAlignment="1">
      <alignment wrapText="1"/>
    </xf>
    <xf numFmtId="0" fontId="7" fillId="0" borderId="0" xfId="0" applyNumberFormat="1" applyFont="1" applyAlignment="1">
      <alignment wrapText="1"/>
    </xf>
    <xf numFmtId="3" fontId="0" fillId="0" borderId="38" xfId="0" applyNumberFormat="1" applyFill="1" applyBorder="1" applyAlignment="1">
      <alignment/>
    </xf>
    <xf numFmtId="3" fontId="0" fillId="0" borderId="39" xfId="0" applyNumberFormat="1" applyFill="1" applyBorder="1" applyAlignment="1">
      <alignment/>
    </xf>
    <xf numFmtId="3" fontId="0" fillId="0" borderId="40" xfId="0" applyNumberFormat="1" applyFill="1" applyBorder="1" applyAlignment="1">
      <alignment/>
    </xf>
    <xf numFmtId="3" fontId="0" fillId="0" borderId="0" xfId="0" applyNumberFormat="1" applyFill="1" applyAlignment="1">
      <alignment/>
    </xf>
    <xf numFmtId="3" fontId="0" fillId="0" borderId="34" xfId="0" applyNumberFormat="1" applyFill="1" applyBorder="1" applyAlignment="1">
      <alignment/>
    </xf>
    <xf numFmtId="0" fontId="2" fillId="0" borderId="0" xfId="0" applyFont="1" applyAlignment="1">
      <alignment/>
    </xf>
    <xf numFmtId="0" fontId="3" fillId="0" borderId="0" xfId="0" applyFont="1" applyFill="1" applyAlignment="1">
      <alignment/>
    </xf>
    <xf numFmtId="0" fontId="0" fillId="0" borderId="0" xfId="0" applyFill="1" applyAlignment="1">
      <alignment horizontal="center"/>
    </xf>
    <xf numFmtId="3" fontId="0" fillId="0" borderId="0" xfId="0" applyNumberFormat="1" applyFill="1" applyAlignment="1">
      <alignment horizontal="center"/>
    </xf>
    <xf numFmtId="0" fontId="3" fillId="0" borderId="0" xfId="0" applyFont="1" applyFill="1" applyAlignment="1">
      <alignment horizontal="center"/>
    </xf>
    <xf numFmtId="0" fontId="0" fillId="0" borderId="0" xfId="0" applyFill="1" applyAlignment="1">
      <alignment horizontal="left"/>
    </xf>
    <xf numFmtId="9" fontId="0" fillId="0" borderId="0" xfId="0" applyNumberFormat="1" applyFill="1" applyAlignment="1">
      <alignment/>
    </xf>
    <xf numFmtId="0" fontId="3" fillId="0" borderId="0" xfId="0" applyFont="1" applyAlignment="1">
      <alignment/>
    </xf>
    <xf numFmtId="0" fontId="3" fillId="4" borderId="0" xfId="0" applyFont="1" applyFill="1" applyAlignment="1">
      <alignment/>
    </xf>
    <xf numFmtId="17" fontId="3" fillId="7" borderId="0" xfId="0" applyNumberFormat="1" applyFont="1" applyFill="1" applyAlignment="1">
      <alignment/>
    </xf>
    <xf numFmtId="0" fontId="3" fillId="22" borderId="0" xfId="0" applyFont="1" applyFill="1" applyAlignment="1">
      <alignment/>
    </xf>
    <xf numFmtId="0" fontId="3" fillId="20" borderId="0" xfId="0" applyFont="1" applyFill="1" applyAlignment="1">
      <alignment horizontal="center" wrapText="1"/>
    </xf>
    <xf numFmtId="3" fontId="0" fillId="20" borderId="0" xfId="0" applyNumberFormat="1" applyFill="1" applyAlignment="1">
      <alignment horizontal="center"/>
    </xf>
    <xf numFmtId="0" fontId="0" fillId="0" borderId="0" xfId="0" applyAlignment="1">
      <alignment horizontal="center"/>
    </xf>
    <xf numFmtId="0" fontId="3" fillId="4" borderId="34" xfId="0" applyFont="1" applyFill="1" applyBorder="1" applyAlignment="1">
      <alignment/>
    </xf>
    <xf numFmtId="0" fontId="3" fillId="0" borderId="34" xfId="0" applyFont="1" applyBorder="1" applyAlignment="1">
      <alignment horizontal="center"/>
    </xf>
    <xf numFmtId="0" fontId="3" fillId="0" borderId="34" xfId="0" applyFont="1" applyFill="1" applyBorder="1" applyAlignment="1">
      <alignment horizontal="center"/>
    </xf>
    <xf numFmtId="0" fontId="3" fillId="20" borderId="34" xfId="0" applyFont="1" applyFill="1" applyBorder="1" applyAlignment="1">
      <alignment horizontal="center" wrapText="1"/>
    </xf>
    <xf numFmtId="3" fontId="3" fillId="20" borderId="34" xfId="0" applyNumberFormat="1" applyFont="1" applyFill="1" applyBorder="1" applyAlignment="1">
      <alignment horizontal="center" wrapText="1"/>
    </xf>
    <xf numFmtId="3" fontId="0" fillId="0" borderId="0" xfId="0" applyNumberFormat="1" applyAlignment="1">
      <alignment wrapText="1"/>
    </xf>
    <xf numFmtId="0" fontId="0" fillId="0" borderId="0" xfId="0" applyAlignment="1">
      <alignment horizontal="center" wrapText="1"/>
    </xf>
    <xf numFmtId="3" fontId="3" fillId="0" borderId="0" xfId="0" applyNumberFormat="1" applyFont="1" applyAlignment="1">
      <alignment wrapText="1"/>
    </xf>
    <xf numFmtId="0" fontId="3" fillId="0" borderId="0" xfId="0" applyFont="1" applyAlignment="1">
      <alignment horizontal="center" wrapText="1"/>
    </xf>
    <xf numFmtId="3" fontId="3" fillId="0" borderId="54" xfId="0" applyNumberFormat="1" applyFont="1" applyBorder="1" applyAlignment="1">
      <alignment wrapText="1"/>
    </xf>
    <xf numFmtId="3" fontId="0" fillId="7" borderId="0" xfId="0" applyNumberFormat="1" applyFill="1" applyAlignment="1">
      <alignment horizontal="center"/>
    </xf>
    <xf numFmtId="3" fontId="3" fillId="7" borderId="0" xfId="0" applyNumberFormat="1" applyFont="1" applyFill="1" applyAlignment="1">
      <alignment horizontal="center"/>
    </xf>
    <xf numFmtId="3" fontId="3" fillId="0" borderId="0" xfId="0" applyNumberFormat="1" applyFont="1" applyAlignment="1">
      <alignment horizontal="center"/>
    </xf>
    <xf numFmtId="3" fontId="0" fillId="7" borderId="55" xfId="0" applyNumberFormat="1" applyFill="1" applyBorder="1" applyAlignment="1">
      <alignment horizontal="center" wrapText="1"/>
    </xf>
    <xf numFmtId="0" fontId="46" fillId="0" borderId="0" xfId="0" applyFont="1" applyFill="1" applyAlignment="1">
      <alignment/>
    </xf>
    <xf numFmtId="0" fontId="7" fillId="22" borderId="49" xfId="0" applyFont="1" applyFill="1" applyBorder="1" applyAlignment="1">
      <alignment horizontal="center" wrapText="1"/>
    </xf>
    <xf numFmtId="3" fontId="3" fillId="22" borderId="55" xfId="0" applyNumberFormat="1" applyFont="1" applyFill="1" applyBorder="1" applyAlignment="1">
      <alignment horizontal="center" wrapText="1"/>
    </xf>
    <xf numFmtId="0" fontId="3" fillId="22" borderId="55" xfId="0" applyFont="1" applyFill="1" applyBorder="1" applyAlignment="1">
      <alignment horizontal="center" wrapText="1"/>
    </xf>
    <xf numFmtId="0" fontId="3" fillId="22" borderId="55" xfId="0" applyNumberFormat="1" applyFont="1" applyFill="1" applyBorder="1" applyAlignment="1">
      <alignment horizontal="center" wrapText="1"/>
    </xf>
    <xf numFmtId="3" fontId="0" fillId="22" borderId="43" xfId="0" applyNumberFormat="1" applyFill="1" applyBorder="1" applyAlignment="1">
      <alignment/>
    </xf>
    <xf numFmtId="3" fontId="3" fillId="22" borderId="43" xfId="0" applyNumberFormat="1" applyFont="1" applyFill="1" applyBorder="1" applyAlignment="1">
      <alignment/>
    </xf>
    <xf numFmtId="0" fontId="0" fillId="0" borderId="0" xfId="0" applyNumberFormat="1" applyAlignment="1">
      <alignment/>
    </xf>
    <xf numFmtId="0" fontId="47" fillId="0" borderId="0" xfId="0" applyFont="1" applyAlignment="1">
      <alignment/>
    </xf>
    <xf numFmtId="0" fontId="3" fillId="0" borderId="0" xfId="0" applyFont="1" applyAlignment="1">
      <alignment wrapText="1"/>
    </xf>
    <xf numFmtId="0" fontId="3" fillId="0" borderId="56" xfId="0" applyFont="1" applyBorder="1" applyAlignment="1">
      <alignment vertical="center" wrapText="1"/>
    </xf>
    <xf numFmtId="0" fontId="3" fillId="0" borderId="0" xfId="0" applyFont="1" applyBorder="1" applyAlignment="1">
      <alignment/>
    </xf>
    <xf numFmtId="0" fontId="3" fillId="4" borderId="57" xfId="0" applyFont="1" applyFill="1" applyBorder="1" applyAlignment="1">
      <alignment/>
    </xf>
    <xf numFmtId="0" fontId="3" fillId="4" borderId="58"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60" xfId="0" applyFont="1" applyFill="1" applyBorder="1" applyAlignment="1">
      <alignment horizontal="center" vertical="center" wrapText="1"/>
    </xf>
    <xf numFmtId="3" fontId="0" fillId="0" borderId="57" xfId="0" applyNumberFormat="1" applyBorder="1" applyAlignment="1">
      <alignment horizontal="center"/>
    </xf>
    <xf numFmtId="0" fontId="0" fillId="0" borderId="57" xfId="0" applyBorder="1" applyAlignment="1">
      <alignment/>
    </xf>
    <xf numFmtId="0" fontId="3" fillId="0" borderId="0" xfId="0" applyFont="1" applyAlignment="1">
      <alignment horizontal="center"/>
    </xf>
    <xf numFmtId="3" fontId="0" fillId="0" borderId="0" xfId="0" applyNumberFormat="1" applyBorder="1" applyAlignment="1">
      <alignment horizontal="center"/>
    </xf>
    <xf numFmtId="0" fontId="3" fillId="0" borderId="0" xfId="0" applyFont="1" applyFill="1" applyBorder="1" applyAlignment="1">
      <alignment/>
    </xf>
    <xf numFmtId="0" fontId="16" fillId="0" borderId="0" xfId="0" applyFont="1" applyBorder="1" applyAlignment="1">
      <alignment/>
    </xf>
    <xf numFmtId="0" fontId="6" fillId="0" borderId="0" xfId="0" applyFont="1" applyBorder="1" applyAlignment="1">
      <alignment/>
    </xf>
    <xf numFmtId="0" fontId="6" fillId="0" borderId="57" xfId="0" applyFont="1" applyBorder="1" applyAlignment="1">
      <alignment/>
    </xf>
    <xf numFmtId="0" fontId="8" fillId="0" borderId="0" xfId="0" applyFont="1" applyAlignment="1">
      <alignment/>
    </xf>
    <xf numFmtId="0" fontId="8" fillId="0" borderId="0" xfId="0" applyFont="1" applyBorder="1" applyAlignment="1">
      <alignment/>
    </xf>
    <xf numFmtId="0" fontId="14" fillId="0" borderId="0" xfId="0" applyFont="1" applyBorder="1" applyAlignment="1">
      <alignment/>
    </xf>
    <xf numFmtId="0" fontId="3" fillId="4" borderId="61" xfId="0" applyFont="1" applyFill="1" applyBorder="1" applyAlignment="1">
      <alignment/>
    </xf>
    <xf numFmtId="3" fontId="0" fillId="22" borderId="59" xfId="0" applyNumberFormat="1" applyFill="1" applyBorder="1" applyAlignment="1">
      <alignment horizontal="center"/>
    </xf>
    <xf numFmtId="3" fontId="8" fillId="22" borderId="60" xfId="0" applyNumberFormat="1" applyFont="1" applyFill="1" applyBorder="1" applyAlignment="1">
      <alignment horizontal="center"/>
    </xf>
    <xf numFmtId="3" fontId="0" fillId="22" borderId="60" xfId="0" applyNumberFormat="1" applyFill="1" applyBorder="1" applyAlignment="1">
      <alignment horizontal="center"/>
    </xf>
    <xf numFmtId="3" fontId="0" fillId="22" borderId="61" xfId="0" applyNumberFormat="1" applyFill="1" applyBorder="1" applyAlignment="1">
      <alignment horizontal="center"/>
    </xf>
    <xf numFmtId="0" fontId="3" fillId="4" borderId="61" xfId="0" applyFont="1" applyFill="1" applyBorder="1" applyAlignment="1">
      <alignment horizontal="center" vertical="center" wrapText="1"/>
    </xf>
    <xf numFmtId="0" fontId="0" fillId="0" borderId="62" xfId="0" applyBorder="1" applyAlignment="1">
      <alignment/>
    </xf>
    <xf numFmtId="0" fontId="0" fillId="0" borderId="49" xfId="0" applyBorder="1" applyAlignment="1">
      <alignment/>
    </xf>
    <xf numFmtId="0" fontId="0" fillId="0" borderId="63" xfId="0" applyBorder="1" applyAlignment="1">
      <alignment/>
    </xf>
    <xf numFmtId="0" fontId="0" fillId="0" borderId="48" xfId="0" applyBorder="1" applyAlignment="1">
      <alignment/>
    </xf>
    <xf numFmtId="0" fontId="3" fillId="4" borderId="0" xfId="0" applyFont="1" applyFill="1" applyBorder="1" applyAlignment="1">
      <alignment/>
    </xf>
    <xf numFmtId="0" fontId="2" fillId="0" borderId="0" xfId="0" applyFont="1" applyBorder="1" applyAlignment="1">
      <alignment/>
    </xf>
    <xf numFmtId="0" fontId="0" fillId="0" borderId="64" xfId="0" applyBorder="1" applyAlignment="1">
      <alignment wrapText="1"/>
    </xf>
    <xf numFmtId="0" fontId="0" fillId="0" borderId="65" xfId="0" applyBorder="1" applyAlignment="1">
      <alignment wrapText="1"/>
    </xf>
    <xf numFmtId="3" fontId="0" fillId="0" borderId="66" xfId="0" applyNumberFormat="1" applyBorder="1" applyAlignment="1">
      <alignment horizontal="center"/>
    </xf>
    <xf numFmtId="3" fontId="0" fillId="0" borderId="0" xfId="0" applyNumberFormat="1" applyBorder="1" applyAlignment="1">
      <alignment/>
    </xf>
    <xf numFmtId="3" fontId="0" fillId="0" borderId="56" xfId="0" applyNumberFormat="1" applyBorder="1" applyAlignment="1">
      <alignment/>
    </xf>
    <xf numFmtId="3" fontId="0" fillId="0" borderId="64" xfId="0" applyNumberFormat="1" applyBorder="1" applyAlignment="1">
      <alignment horizontal="center"/>
    </xf>
    <xf numFmtId="3" fontId="0" fillId="0" borderId="65" xfId="0" applyNumberFormat="1" applyBorder="1" applyAlignment="1">
      <alignment horizontal="center"/>
    </xf>
    <xf numFmtId="0" fontId="0" fillId="0" borderId="39" xfId="0" applyBorder="1" applyAlignment="1">
      <alignment/>
    </xf>
    <xf numFmtId="0" fontId="3" fillId="4" borderId="67" xfId="0" applyFont="1" applyFill="1" applyBorder="1" applyAlignment="1">
      <alignment/>
    </xf>
    <xf numFmtId="3" fontId="0" fillId="0" borderId="55" xfId="0" applyNumberFormat="1" applyBorder="1" applyAlignment="1">
      <alignment horizontal="center"/>
    </xf>
    <xf numFmtId="3" fontId="0" fillId="0" borderId="56" xfId="0" applyNumberFormat="1" applyBorder="1" applyAlignment="1">
      <alignment horizontal="center"/>
    </xf>
    <xf numFmtId="0" fontId="2" fillId="0" borderId="0" xfId="0" applyFont="1" applyFill="1" applyAlignment="1">
      <alignment/>
    </xf>
    <xf numFmtId="0" fontId="0" fillId="0" borderId="19" xfId="0" applyFill="1" applyBorder="1" applyAlignment="1">
      <alignment/>
    </xf>
    <xf numFmtId="0" fontId="4" fillId="0" borderId="0" xfId="0" applyFont="1" applyFill="1" applyBorder="1" applyAlignment="1">
      <alignment wrapText="1"/>
    </xf>
    <xf numFmtId="3" fontId="3" fillId="0" borderId="0" xfId="0" applyNumberFormat="1" applyFont="1" applyFill="1" applyBorder="1" applyAlignment="1">
      <alignment/>
    </xf>
    <xf numFmtId="0" fontId="14" fillId="0" borderId="29" xfId="0" applyFont="1" applyBorder="1" applyAlignment="1">
      <alignment/>
    </xf>
    <xf numFmtId="0" fontId="0" fillId="0" borderId="0" xfId="0" applyFont="1" applyFill="1" applyBorder="1" applyAlignment="1">
      <alignment wrapText="1"/>
    </xf>
    <xf numFmtId="0" fontId="6" fillId="0" borderId="0" xfId="0" applyFont="1" applyAlignment="1">
      <alignment/>
    </xf>
    <xf numFmtId="3" fontId="6" fillId="0" borderId="0" xfId="0" applyNumberFormat="1" applyFont="1" applyAlignment="1">
      <alignment horizontal="center"/>
    </xf>
    <xf numFmtId="3" fontId="6" fillId="0" borderId="57" xfId="0" applyNumberFormat="1" applyFont="1" applyBorder="1" applyAlignment="1">
      <alignment horizontal="center"/>
    </xf>
    <xf numFmtId="3" fontId="0" fillId="0" borderId="62" xfId="0" applyNumberFormat="1" applyBorder="1" applyAlignment="1">
      <alignment horizontal="center"/>
    </xf>
    <xf numFmtId="3" fontId="0" fillId="0" borderId="29" xfId="0" applyNumberFormat="1" applyBorder="1" applyAlignment="1">
      <alignment horizontal="center"/>
    </xf>
    <xf numFmtId="3" fontId="0" fillId="0" borderId="49" xfId="0" applyNumberFormat="1" applyBorder="1" applyAlignment="1">
      <alignment horizontal="center"/>
    </xf>
    <xf numFmtId="3" fontId="0" fillId="0" borderId="21" xfId="0" applyNumberFormat="1" applyBorder="1" applyAlignment="1">
      <alignment horizontal="center"/>
    </xf>
    <xf numFmtId="3" fontId="0" fillId="0" borderId="18" xfId="0" applyNumberFormat="1" applyBorder="1" applyAlignment="1">
      <alignment horizontal="center"/>
    </xf>
    <xf numFmtId="3" fontId="0" fillId="0" borderId="63" xfId="0" applyNumberFormat="1" applyBorder="1" applyAlignment="1">
      <alignment horizontal="center"/>
    </xf>
    <xf numFmtId="3" fontId="0" fillId="0" borderId="19" xfId="0" applyNumberFormat="1" applyBorder="1" applyAlignment="1">
      <alignment horizontal="center"/>
    </xf>
    <xf numFmtId="3" fontId="0" fillId="0" borderId="48" xfId="0" applyNumberFormat="1" applyBorder="1" applyAlignment="1">
      <alignment horizontal="center"/>
    </xf>
    <xf numFmtId="3" fontId="3" fillId="0" borderId="63" xfId="0" applyNumberFormat="1" applyFont="1" applyBorder="1" applyAlignment="1">
      <alignment horizontal="center"/>
    </xf>
    <xf numFmtId="3" fontId="3" fillId="0" borderId="19" xfId="0" applyNumberFormat="1" applyFont="1" applyBorder="1" applyAlignment="1">
      <alignment horizontal="center"/>
    </xf>
    <xf numFmtId="3" fontId="3" fillId="0" borderId="48" xfId="0" applyNumberFormat="1" applyFont="1" applyBorder="1" applyAlignment="1">
      <alignment horizontal="center"/>
    </xf>
    <xf numFmtId="3" fontId="0" fillId="0" borderId="30" xfId="0" applyNumberFormat="1" applyBorder="1" applyAlignment="1">
      <alignment horizontal="center"/>
    </xf>
    <xf numFmtId="3" fontId="0" fillId="0" borderId="22" xfId="0" applyNumberFormat="1" applyBorder="1" applyAlignment="1">
      <alignment horizontal="center"/>
    </xf>
    <xf numFmtId="3" fontId="0" fillId="0" borderId="33" xfId="0" applyNumberFormat="1" applyBorder="1" applyAlignment="1">
      <alignment horizontal="center"/>
    </xf>
    <xf numFmtId="0" fontId="2" fillId="0" borderId="0" xfId="0" applyFont="1" applyAlignment="1">
      <alignment wrapText="1"/>
    </xf>
    <xf numFmtId="168" fontId="0" fillId="0" borderId="19" xfId="0" applyNumberFormat="1" applyBorder="1" applyAlignment="1">
      <alignment/>
    </xf>
    <xf numFmtId="3" fontId="6" fillId="0" borderId="0" xfId="0" applyNumberFormat="1" applyFont="1" applyBorder="1" applyAlignment="1">
      <alignment/>
    </xf>
    <xf numFmtId="0" fontId="7" fillId="4" borderId="67" xfId="0" applyFont="1" applyFill="1" applyBorder="1" applyAlignment="1">
      <alignment horizontal="center" wrapText="1"/>
    </xf>
    <xf numFmtId="3" fontId="7" fillId="4" borderId="68" xfId="0" applyNumberFormat="1" applyFont="1" applyFill="1" applyBorder="1" applyAlignment="1">
      <alignment horizontal="center"/>
    </xf>
    <xf numFmtId="0" fontId="2" fillId="0" borderId="19" xfId="0" applyFont="1" applyBorder="1" applyAlignment="1">
      <alignment/>
    </xf>
    <xf numFmtId="4" fontId="0" fillId="0" borderId="0" xfId="0" applyNumberFormat="1" applyBorder="1" applyAlignment="1">
      <alignment/>
    </xf>
    <xf numFmtId="0" fontId="8" fillId="0" borderId="0" xfId="0" applyFont="1" applyFill="1" applyAlignment="1">
      <alignment/>
    </xf>
    <xf numFmtId="0" fontId="7" fillId="4" borderId="69" xfId="0" applyFont="1" applyFill="1" applyBorder="1" applyAlignment="1">
      <alignment horizontal="center" wrapText="1"/>
    </xf>
    <xf numFmtId="0" fontId="7" fillId="0" borderId="30" xfId="0" applyFont="1" applyFill="1" applyBorder="1" applyAlignment="1">
      <alignment wrapText="1"/>
    </xf>
    <xf numFmtId="3" fontId="3" fillId="0" borderId="22" xfId="0" applyNumberFormat="1" applyFont="1" applyFill="1" applyBorder="1" applyAlignment="1">
      <alignment/>
    </xf>
    <xf numFmtId="0" fontId="3" fillId="0" borderId="33" xfId="0" applyFont="1" applyBorder="1" applyAlignment="1">
      <alignment/>
    </xf>
    <xf numFmtId="3" fontId="3" fillId="4" borderId="22" xfId="0" applyNumberFormat="1" applyFont="1" applyFill="1" applyBorder="1" applyAlignment="1">
      <alignment/>
    </xf>
    <xf numFmtId="0" fontId="3" fillId="4" borderId="33" xfId="0" applyFont="1" applyFill="1" applyBorder="1" applyAlignment="1">
      <alignment/>
    </xf>
    <xf numFmtId="3" fontId="50" fillId="0" borderId="41" xfId="0" applyNumberFormat="1" applyFont="1" applyBorder="1" applyAlignment="1">
      <alignment/>
    </xf>
    <xf numFmtId="0" fontId="50" fillId="0" borderId="70" xfId="0" applyFont="1" applyBorder="1" applyAlignment="1">
      <alignment/>
    </xf>
    <xf numFmtId="0" fontId="47" fillId="0" borderId="71" xfId="0" applyFont="1" applyBorder="1" applyAlignment="1">
      <alignment/>
    </xf>
    <xf numFmtId="0" fontId="47" fillId="22" borderId="71" xfId="0" applyFont="1" applyFill="1" applyBorder="1" applyAlignment="1">
      <alignment/>
    </xf>
    <xf numFmtId="0" fontId="47" fillId="28" borderId="71" xfId="0" applyFont="1" applyFill="1" applyBorder="1" applyAlignment="1">
      <alignment/>
    </xf>
    <xf numFmtId="3" fontId="50" fillId="0" borderId="72" xfId="0" applyNumberFormat="1" applyFont="1" applyBorder="1" applyAlignment="1">
      <alignment/>
    </xf>
    <xf numFmtId="3" fontId="50" fillId="0" borderId="73" xfId="0" applyNumberFormat="1" applyFont="1" applyBorder="1" applyAlignment="1">
      <alignment/>
    </xf>
    <xf numFmtId="3" fontId="47" fillId="0" borderId="74" xfId="0" applyNumberFormat="1" applyFont="1" applyBorder="1" applyAlignment="1">
      <alignment/>
    </xf>
    <xf numFmtId="3" fontId="47" fillId="22" borderId="74" xfId="0" applyNumberFormat="1" applyFont="1" applyFill="1" applyBorder="1" applyAlignment="1">
      <alignment/>
    </xf>
    <xf numFmtId="3" fontId="50" fillId="0" borderId="75" xfId="0" applyNumberFormat="1" applyFont="1" applyBorder="1" applyAlignment="1">
      <alignment/>
    </xf>
    <xf numFmtId="3" fontId="50" fillId="0" borderId="38" xfId="0" applyNumberFormat="1" applyFont="1" applyBorder="1" applyAlignment="1">
      <alignment/>
    </xf>
    <xf numFmtId="3" fontId="50" fillId="0" borderId="76" xfId="0" applyNumberFormat="1" applyFont="1" applyBorder="1" applyAlignment="1">
      <alignment/>
    </xf>
    <xf numFmtId="3" fontId="47" fillId="0" borderId="77" xfId="0" applyNumberFormat="1" applyFont="1" applyBorder="1" applyAlignment="1">
      <alignment/>
    </xf>
    <xf numFmtId="0" fontId="47" fillId="28" borderId="78" xfId="0" applyFont="1" applyFill="1" applyBorder="1" applyAlignment="1">
      <alignment/>
    </xf>
    <xf numFmtId="3" fontId="50" fillId="0" borderId="0" xfId="0" applyNumberFormat="1" applyFont="1" applyAlignment="1">
      <alignment/>
    </xf>
    <xf numFmtId="0" fontId="7" fillId="4" borderId="30" xfId="0" applyFont="1" applyFill="1" applyBorder="1" applyAlignment="1">
      <alignment horizontal="center" wrapText="1"/>
    </xf>
    <xf numFmtId="3" fontId="3" fillId="4" borderId="30" xfId="0" applyNumberFormat="1" applyFont="1" applyFill="1" applyBorder="1" applyAlignment="1">
      <alignment/>
    </xf>
    <xf numFmtId="0" fontId="0" fillId="0" borderId="30" xfId="0" applyBorder="1" applyAlignment="1">
      <alignment/>
    </xf>
    <xf numFmtId="3" fontId="3" fillId="4" borderId="0" xfId="0" applyNumberFormat="1" applyFont="1" applyFill="1" applyAlignment="1">
      <alignment horizontal="center"/>
    </xf>
    <xf numFmtId="0" fontId="50" fillId="0" borderId="0" xfId="0" applyFont="1" applyAlignment="1">
      <alignment/>
    </xf>
    <xf numFmtId="0" fontId="50" fillId="0" borderId="0" xfId="0" applyFont="1" applyAlignment="1">
      <alignment wrapText="1"/>
    </xf>
    <xf numFmtId="3" fontId="50" fillId="4" borderId="30" xfId="0" applyNumberFormat="1" applyFont="1" applyFill="1" applyBorder="1" applyAlignment="1">
      <alignment/>
    </xf>
    <xf numFmtId="0" fontId="47" fillId="4" borderId="23" xfId="0" applyFont="1" applyFill="1" applyBorder="1" applyAlignment="1">
      <alignment wrapText="1"/>
    </xf>
    <xf numFmtId="0" fontId="47" fillId="0" borderId="0" xfId="0" applyFont="1" applyAlignment="1">
      <alignment wrapText="1"/>
    </xf>
    <xf numFmtId="0" fontId="3" fillId="0" borderId="22" xfId="0" applyFont="1" applyBorder="1" applyAlignment="1">
      <alignment/>
    </xf>
    <xf numFmtId="3" fontId="50" fillId="0" borderId="44" xfId="0" applyNumberFormat="1" applyFont="1" applyBorder="1" applyAlignment="1">
      <alignment/>
    </xf>
    <xf numFmtId="3" fontId="50" fillId="0" borderId="79" xfId="0" applyNumberFormat="1" applyFont="1" applyBorder="1" applyAlignment="1">
      <alignment/>
    </xf>
    <xf numFmtId="3" fontId="50" fillId="0" borderId="80" xfId="0" applyNumberFormat="1" applyFont="1" applyBorder="1" applyAlignment="1">
      <alignment/>
    </xf>
    <xf numFmtId="3" fontId="50" fillId="0" borderId="81" xfId="0" applyNumberFormat="1" applyFont="1" applyBorder="1" applyAlignment="1">
      <alignment/>
    </xf>
    <xf numFmtId="3" fontId="47" fillId="0" borderId="79" xfId="0" applyNumberFormat="1" applyFont="1" applyBorder="1" applyAlignment="1">
      <alignment/>
    </xf>
    <xf numFmtId="0" fontId="47" fillId="28" borderId="74" xfId="0" applyFont="1" applyFill="1" applyBorder="1" applyAlignment="1">
      <alignment/>
    </xf>
    <xf numFmtId="3" fontId="50" fillId="0" borderId="40" xfId="0" applyNumberFormat="1" applyFont="1" applyBorder="1" applyAlignment="1">
      <alignment/>
    </xf>
    <xf numFmtId="0" fontId="47" fillId="28" borderId="79" xfId="0" applyFont="1" applyFill="1" applyBorder="1" applyAlignment="1">
      <alignment/>
    </xf>
    <xf numFmtId="0" fontId="47" fillId="4" borderId="82" xfId="0" applyFont="1" applyFill="1" applyBorder="1" applyAlignment="1">
      <alignment wrapText="1"/>
    </xf>
    <xf numFmtId="3" fontId="47" fillId="4" borderId="83" xfId="0" applyNumberFormat="1" applyFont="1" applyFill="1" applyBorder="1" applyAlignment="1">
      <alignment wrapText="1"/>
    </xf>
    <xf numFmtId="3" fontId="50" fillId="22" borderId="40" xfId="0" applyNumberFormat="1" applyFont="1" applyFill="1" applyBorder="1" applyAlignment="1">
      <alignment horizontal="center"/>
    </xf>
    <xf numFmtId="3" fontId="50" fillId="28" borderId="40" xfId="0" applyNumberFormat="1" applyFont="1" applyFill="1" applyBorder="1" applyAlignment="1">
      <alignment horizontal="center"/>
    </xf>
    <xf numFmtId="3" fontId="50" fillId="28" borderId="81" xfId="0" applyNumberFormat="1" applyFont="1" applyFill="1" applyBorder="1" applyAlignment="1">
      <alignment horizontal="center"/>
    </xf>
    <xf numFmtId="3" fontId="50" fillId="4" borderId="84" xfId="0" applyNumberFormat="1" applyFont="1" applyFill="1" applyBorder="1" applyAlignment="1">
      <alignment horizontal="center" wrapText="1"/>
    </xf>
    <xf numFmtId="3" fontId="50" fillId="22" borderId="41" xfId="0" applyNumberFormat="1" applyFont="1" applyFill="1" applyBorder="1" applyAlignment="1">
      <alignment horizontal="center"/>
    </xf>
    <xf numFmtId="3" fontId="50" fillId="28" borderId="41" xfId="0" applyNumberFormat="1" applyFont="1" applyFill="1" applyBorder="1" applyAlignment="1">
      <alignment horizontal="center"/>
    </xf>
    <xf numFmtId="3" fontId="50" fillId="28" borderId="44" xfId="0" applyNumberFormat="1" applyFont="1" applyFill="1" applyBorder="1" applyAlignment="1">
      <alignment horizontal="center"/>
    </xf>
    <xf numFmtId="3" fontId="50" fillId="4" borderId="85" xfId="0" applyNumberFormat="1" applyFont="1" applyFill="1" applyBorder="1" applyAlignment="1">
      <alignment horizontal="center" wrapText="1"/>
    </xf>
    <xf numFmtId="3" fontId="50" fillId="22" borderId="38" xfId="0" applyNumberFormat="1" applyFont="1" applyFill="1" applyBorder="1" applyAlignment="1">
      <alignment horizontal="center"/>
    </xf>
    <xf numFmtId="3" fontId="50" fillId="28" borderId="38" xfId="0" applyNumberFormat="1" applyFont="1" applyFill="1" applyBorder="1" applyAlignment="1">
      <alignment horizontal="center"/>
    </xf>
    <xf numFmtId="3" fontId="50" fillId="28" borderId="86" xfId="0" applyNumberFormat="1" applyFont="1" applyFill="1" applyBorder="1" applyAlignment="1">
      <alignment horizontal="center"/>
    </xf>
    <xf numFmtId="3" fontId="50" fillId="4" borderId="87" xfId="0" applyNumberFormat="1" applyFont="1" applyFill="1" applyBorder="1" applyAlignment="1">
      <alignment horizontal="center" wrapText="1"/>
    </xf>
    <xf numFmtId="3" fontId="47" fillId="22" borderId="77" xfId="0" applyNumberFormat="1" applyFont="1" applyFill="1" applyBorder="1" applyAlignment="1">
      <alignment horizontal="center"/>
    </xf>
    <xf numFmtId="3" fontId="47" fillId="28" borderId="77" xfId="0" applyNumberFormat="1" applyFont="1" applyFill="1" applyBorder="1" applyAlignment="1">
      <alignment horizontal="center"/>
    </xf>
    <xf numFmtId="3" fontId="47" fillId="28" borderId="32" xfId="0" applyNumberFormat="1" applyFont="1" applyFill="1" applyBorder="1" applyAlignment="1">
      <alignment horizontal="center"/>
    </xf>
    <xf numFmtId="3" fontId="47" fillId="4" borderId="88" xfId="0" applyNumberFormat="1" applyFont="1" applyFill="1" applyBorder="1" applyAlignment="1">
      <alignment horizontal="center" wrapText="1"/>
    </xf>
    <xf numFmtId="0" fontId="47" fillId="22" borderId="70" xfId="0" applyFont="1" applyFill="1" applyBorder="1" applyAlignment="1">
      <alignment horizontal="center"/>
    </xf>
    <xf numFmtId="0" fontId="47" fillId="22" borderId="71" xfId="0" applyFont="1" applyFill="1" applyBorder="1" applyAlignment="1">
      <alignment horizontal="center"/>
    </xf>
    <xf numFmtId="0" fontId="47" fillId="28" borderId="71" xfId="0" applyFont="1" applyFill="1" applyBorder="1" applyAlignment="1">
      <alignment horizontal="center"/>
    </xf>
    <xf numFmtId="0" fontId="47" fillId="4" borderId="23" xfId="0" applyFont="1" applyFill="1" applyBorder="1" applyAlignment="1">
      <alignment horizontal="center" wrapText="1"/>
    </xf>
    <xf numFmtId="3" fontId="47" fillId="22" borderId="73" xfId="0" applyNumberFormat="1" applyFont="1" applyFill="1" applyBorder="1" applyAlignment="1">
      <alignment horizontal="center"/>
    </xf>
    <xf numFmtId="0" fontId="47" fillId="28" borderId="74" xfId="0" applyFont="1" applyFill="1" applyBorder="1" applyAlignment="1">
      <alignment horizontal="center"/>
    </xf>
    <xf numFmtId="3" fontId="47" fillId="4" borderId="47" xfId="0" applyNumberFormat="1" applyFont="1" applyFill="1" applyBorder="1" applyAlignment="1">
      <alignment horizontal="center" wrapText="1"/>
    </xf>
    <xf numFmtId="3" fontId="50" fillId="0" borderId="89" xfId="0" applyNumberFormat="1" applyFont="1" applyBorder="1" applyAlignment="1">
      <alignment horizontal="center" wrapText="1"/>
    </xf>
    <xf numFmtId="3" fontId="50" fillId="0" borderId="90" xfId="0" applyNumberFormat="1" applyFont="1" applyBorder="1" applyAlignment="1">
      <alignment horizontal="center" wrapText="1"/>
    </xf>
    <xf numFmtId="3" fontId="50" fillId="0" borderId="91" xfId="0" applyNumberFormat="1" applyFont="1" applyBorder="1" applyAlignment="1">
      <alignment horizontal="center" wrapText="1"/>
    </xf>
    <xf numFmtId="3" fontId="47" fillId="0" borderId="63" xfId="0" applyNumberFormat="1" applyFont="1" applyBorder="1" applyAlignment="1">
      <alignment horizontal="center" wrapText="1"/>
    </xf>
    <xf numFmtId="3" fontId="47" fillId="0" borderId="30" xfId="0" applyNumberFormat="1" applyFont="1" applyBorder="1" applyAlignment="1">
      <alignment horizontal="center"/>
    </xf>
    <xf numFmtId="3" fontId="47" fillId="0" borderId="22" xfId="0" applyNumberFormat="1" applyFont="1" applyBorder="1" applyAlignment="1">
      <alignment horizontal="center"/>
    </xf>
    <xf numFmtId="3" fontId="47" fillId="0" borderId="33" xfId="0" applyNumberFormat="1" applyFont="1" applyBorder="1" applyAlignment="1">
      <alignment horizontal="center"/>
    </xf>
    <xf numFmtId="0" fontId="47" fillId="7" borderId="92" xfId="0" applyFont="1" applyFill="1" applyBorder="1" applyAlignment="1">
      <alignment horizontal="center"/>
    </xf>
    <xf numFmtId="0" fontId="47" fillId="7" borderId="93" xfId="0" applyFont="1" applyFill="1" applyBorder="1" applyAlignment="1">
      <alignment horizontal="center" wrapText="1"/>
    </xf>
    <xf numFmtId="0" fontId="47" fillId="28" borderId="82" xfId="0" applyFont="1" applyFill="1" applyBorder="1" applyAlignment="1">
      <alignment horizontal="center"/>
    </xf>
    <xf numFmtId="0" fontId="47" fillId="28" borderId="83" xfId="0" applyFont="1" applyFill="1" applyBorder="1" applyAlignment="1">
      <alignment horizontal="center"/>
    </xf>
    <xf numFmtId="0" fontId="47" fillId="27" borderId="0" xfId="0" applyFont="1" applyFill="1" applyBorder="1" applyAlignment="1">
      <alignment wrapText="1"/>
    </xf>
    <xf numFmtId="3" fontId="47" fillId="27" borderId="0" xfId="0" applyNumberFormat="1" applyFont="1" applyFill="1" applyBorder="1" applyAlignment="1">
      <alignment wrapText="1"/>
    </xf>
    <xf numFmtId="3" fontId="50" fillId="27" borderId="0" xfId="0" applyNumberFormat="1" applyFont="1" applyFill="1" applyBorder="1" applyAlignment="1">
      <alignment horizontal="center" wrapText="1"/>
    </xf>
    <xf numFmtId="3" fontId="47" fillId="27" borderId="0" xfId="0" applyNumberFormat="1" applyFont="1" applyFill="1" applyBorder="1" applyAlignment="1">
      <alignment horizontal="center" wrapText="1"/>
    </xf>
    <xf numFmtId="0" fontId="47" fillId="7" borderId="33" xfId="0" applyFont="1" applyFill="1" applyBorder="1" applyAlignment="1">
      <alignment horizontal="center" wrapText="1"/>
    </xf>
    <xf numFmtId="3" fontId="47" fillId="7" borderId="20" xfId="0" applyNumberFormat="1" applyFont="1" applyFill="1" applyBorder="1" applyAlignment="1">
      <alignment horizontal="center" wrapText="1"/>
    </xf>
    <xf numFmtId="9" fontId="47" fillId="7" borderId="23" xfId="0" applyNumberFormat="1" applyFont="1" applyFill="1" applyBorder="1" applyAlignment="1">
      <alignment horizontal="center" wrapText="1"/>
    </xf>
    <xf numFmtId="9" fontId="47" fillId="7" borderId="41" xfId="0" applyNumberFormat="1" applyFont="1" applyFill="1" applyBorder="1" applyAlignment="1">
      <alignment horizontal="center" wrapText="1"/>
    </xf>
    <xf numFmtId="9" fontId="47" fillId="7" borderId="38" xfId="0" applyNumberFormat="1" applyFont="1" applyFill="1" applyBorder="1" applyAlignment="1">
      <alignment horizontal="center" wrapText="1"/>
    </xf>
    <xf numFmtId="3" fontId="47" fillId="7" borderId="40" xfId="0" applyNumberFormat="1" applyFont="1" applyFill="1" applyBorder="1" applyAlignment="1">
      <alignment horizontal="center"/>
    </xf>
    <xf numFmtId="3" fontId="47" fillId="7" borderId="39" xfId="0" applyNumberFormat="1" applyFont="1" applyFill="1" applyBorder="1" applyAlignment="1">
      <alignment horizontal="center"/>
    </xf>
    <xf numFmtId="3" fontId="47" fillId="7" borderId="23" xfId="0" applyNumberFormat="1" applyFont="1" applyFill="1" applyBorder="1" applyAlignment="1">
      <alignment horizontal="center"/>
    </xf>
    <xf numFmtId="3" fontId="47" fillId="0" borderId="0" xfId="0" applyNumberFormat="1" applyFont="1" applyAlignment="1">
      <alignment/>
    </xf>
    <xf numFmtId="10" fontId="0" fillId="0" borderId="0" xfId="0" applyNumberFormat="1" applyAlignment="1">
      <alignment/>
    </xf>
    <xf numFmtId="0" fontId="8" fillId="0" borderId="62" xfId="0" applyFont="1" applyBorder="1" applyAlignment="1">
      <alignment/>
    </xf>
    <xf numFmtId="0" fontId="8" fillId="0" borderId="29" xfId="0" applyFont="1" applyBorder="1" applyAlignment="1">
      <alignment/>
    </xf>
    <xf numFmtId="0" fontId="8" fillId="0" borderId="49" xfId="0" applyFont="1" applyBorder="1" applyAlignment="1">
      <alignment/>
    </xf>
    <xf numFmtId="0" fontId="8" fillId="0" borderId="63" xfId="0" applyFont="1" applyBorder="1" applyAlignment="1">
      <alignment/>
    </xf>
    <xf numFmtId="0" fontId="8" fillId="0" borderId="19" xfId="0" applyFont="1" applyBorder="1" applyAlignment="1">
      <alignment/>
    </xf>
    <xf numFmtId="3" fontId="8" fillId="0" borderId="19" xfId="0" applyNumberFormat="1" applyFont="1" applyBorder="1" applyAlignment="1">
      <alignment/>
    </xf>
    <xf numFmtId="0" fontId="8" fillId="0" borderId="29" xfId="0" applyFont="1" applyBorder="1" applyAlignment="1">
      <alignment wrapText="1"/>
    </xf>
    <xf numFmtId="0" fontId="8" fillId="0" borderId="0" xfId="0" applyFont="1" applyFill="1" applyBorder="1" applyAlignment="1">
      <alignment/>
    </xf>
    <xf numFmtId="10" fontId="7" fillId="0" borderId="48" xfId="0" applyNumberFormat="1" applyFont="1" applyBorder="1" applyAlignment="1">
      <alignment/>
    </xf>
    <xf numFmtId="0" fontId="2" fillId="0" borderId="18" xfId="0" applyFont="1" applyBorder="1" applyAlignment="1">
      <alignment/>
    </xf>
    <xf numFmtId="3" fontId="2" fillId="0" borderId="0" xfId="0" applyNumberFormat="1" applyFont="1" applyFill="1" applyBorder="1" applyAlignment="1">
      <alignment/>
    </xf>
    <xf numFmtId="0" fontId="2" fillId="0" borderId="0" xfId="0" applyFont="1" applyFill="1" applyBorder="1" applyAlignment="1">
      <alignment/>
    </xf>
    <xf numFmtId="0" fontId="2" fillId="0" borderId="48" xfId="0" applyFont="1" applyBorder="1" applyAlignment="1">
      <alignment/>
    </xf>
    <xf numFmtId="0" fontId="7" fillId="0" borderId="57" xfId="0" applyFont="1" applyFill="1" applyBorder="1" applyAlignment="1">
      <alignment/>
    </xf>
    <xf numFmtId="0" fontId="3" fillId="0" borderId="57" xfId="0" applyFont="1" applyFill="1" applyBorder="1" applyAlignment="1">
      <alignment/>
    </xf>
    <xf numFmtId="3" fontId="0" fillId="4" borderId="0" xfId="0" applyNumberFormat="1" applyFill="1" applyBorder="1" applyAlignment="1">
      <alignment horizontal="center"/>
    </xf>
    <xf numFmtId="0" fontId="6" fillId="0" borderId="18" xfId="0" applyFont="1" applyBorder="1" applyAlignment="1">
      <alignment/>
    </xf>
    <xf numFmtId="168" fontId="6" fillId="0" borderId="0" xfId="0" applyNumberFormat="1" applyFont="1" applyBorder="1" applyAlignment="1">
      <alignment/>
    </xf>
    <xf numFmtId="3" fontId="51" fillId="0" borderId="0" xfId="0" applyNumberFormat="1" applyFont="1" applyFill="1" applyBorder="1" applyAlignment="1">
      <alignment/>
    </xf>
    <xf numFmtId="0" fontId="51" fillId="0" borderId="0" xfId="0" applyFont="1" applyFill="1" applyBorder="1" applyAlignment="1">
      <alignment/>
    </xf>
    <xf numFmtId="0" fontId="51" fillId="0" borderId="0" xfId="0" applyFont="1" applyBorder="1" applyAlignment="1">
      <alignment/>
    </xf>
    <xf numFmtId="3" fontId="0" fillId="0" borderId="0" xfId="0" applyNumberFormat="1" applyFill="1" applyBorder="1" applyAlignment="1">
      <alignment horizontal="center"/>
    </xf>
    <xf numFmtId="3" fontId="6" fillId="0" borderId="0" xfId="0" applyNumberFormat="1" applyFont="1" applyFill="1" applyBorder="1" applyAlignment="1">
      <alignment/>
    </xf>
    <xf numFmtId="0" fontId="6" fillId="0" borderId="0" xfId="0" applyFont="1" applyFill="1" applyBorder="1" applyAlignment="1">
      <alignment/>
    </xf>
    <xf numFmtId="0" fontId="6" fillId="0" borderId="0" xfId="0" applyNumberFormat="1" applyFont="1" applyFill="1" applyBorder="1" applyAlignment="1">
      <alignment/>
    </xf>
    <xf numFmtId="9" fontId="6" fillId="0" borderId="0" xfId="0" applyNumberFormat="1" applyFont="1" applyBorder="1" applyAlignment="1">
      <alignment/>
    </xf>
    <xf numFmtId="0" fontId="6" fillId="0" borderId="19" xfId="0" applyNumberFormat="1" applyFont="1" applyBorder="1" applyAlignment="1">
      <alignment/>
    </xf>
    <xf numFmtId="0" fontId="6" fillId="0" borderId="19" xfId="0" applyFont="1" applyBorder="1" applyAlignment="1">
      <alignment/>
    </xf>
    <xf numFmtId="3" fontId="6" fillId="0" borderId="34" xfId="0" applyNumberFormat="1" applyFont="1" applyFill="1" applyBorder="1" applyAlignment="1">
      <alignment/>
    </xf>
    <xf numFmtId="164" fontId="0" fillId="0" borderId="0" xfId="0" applyNumberFormat="1" applyAlignment="1">
      <alignment/>
    </xf>
    <xf numFmtId="3" fontId="0" fillId="0" borderId="30" xfId="0" applyNumberFormat="1" applyBorder="1" applyAlignment="1">
      <alignment/>
    </xf>
    <xf numFmtId="0" fontId="8" fillId="0" borderId="0" xfId="0" applyFont="1" applyAlignment="1">
      <alignment horizontal="center"/>
    </xf>
    <xf numFmtId="0" fontId="6" fillId="22" borderId="35" xfId="0" applyFont="1" applyFill="1" applyBorder="1" applyAlignment="1">
      <alignment/>
    </xf>
    <xf numFmtId="3" fontId="16" fillId="0" borderId="0" xfId="0" applyNumberFormat="1" applyFont="1" applyBorder="1" applyAlignment="1">
      <alignment/>
    </xf>
    <xf numFmtId="0" fontId="0" fillId="0" borderId="0" xfId="0" applyAlignment="1">
      <alignment horizontal="left"/>
    </xf>
    <xf numFmtId="0" fontId="52" fillId="0" borderId="0" xfId="0" applyFont="1" applyAlignment="1">
      <alignment/>
    </xf>
    <xf numFmtId="0" fontId="53" fillId="0" borderId="0" xfId="0" applyFont="1" applyAlignment="1">
      <alignment/>
    </xf>
    <xf numFmtId="0" fontId="53" fillId="0" borderId="54" xfId="0" applyFont="1" applyBorder="1" applyAlignment="1">
      <alignment horizontal="center"/>
    </xf>
    <xf numFmtId="0" fontId="53" fillId="0" borderId="55" xfId="0" applyFont="1" applyBorder="1" applyAlignment="1">
      <alignment horizontal="center"/>
    </xf>
    <xf numFmtId="0" fontId="53" fillId="0" borderId="43" xfId="0" applyFont="1" applyBorder="1" applyAlignment="1">
      <alignment horizontal="center"/>
    </xf>
    <xf numFmtId="3" fontId="52" fillId="0" borderId="0" xfId="0" applyNumberFormat="1" applyFont="1" applyAlignment="1">
      <alignment horizontal="center"/>
    </xf>
    <xf numFmtId="3" fontId="52" fillId="0" borderId="0" xfId="0" applyNumberFormat="1" applyFont="1" applyAlignment="1">
      <alignment/>
    </xf>
    <xf numFmtId="0" fontId="53" fillId="0" borderId="43" xfId="0" applyFont="1" applyBorder="1" applyAlignment="1">
      <alignment horizontal="center" wrapText="1"/>
    </xf>
    <xf numFmtId="0" fontId="52" fillId="0" borderId="0" xfId="0" applyFont="1" applyAlignment="1">
      <alignment horizontal="center"/>
    </xf>
    <xf numFmtId="0" fontId="53" fillId="0" borderId="0" xfId="0" applyFont="1" applyAlignment="1">
      <alignment horizontal="center"/>
    </xf>
    <xf numFmtId="3" fontId="52" fillId="0" borderId="0" xfId="0" applyNumberFormat="1" applyFont="1" applyFill="1" applyAlignment="1">
      <alignment/>
    </xf>
    <xf numFmtId="0" fontId="6" fillId="0" borderId="41" xfId="0" applyFont="1" applyBorder="1" applyAlignment="1">
      <alignment/>
    </xf>
    <xf numFmtId="0" fontId="7" fillId="0" borderId="41" xfId="0" applyFont="1" applyBorder="1" applyAlignment="1">
      <alignment horizontal="center"/>
    </xf>
    <xf numFmtId="0" fontId="6" fillId="0" borderId="41" xfId="0" applyFont="1" applyFill="1" applyBorder="1" applyAlignment="1">
      <alignment wrapText="1"/>
    </xf>
    <xf numFmtId="3" fontId="6" fillId="0" borderId="41" xfId="0" applyNumberFormat="1" applyFont="1" applyBorder="1" applyAlignment="1">
      <alignment horizontal="center"/>
    </xf>
    <xf numFmtId="0" fontId="7" fillId="0" borderId="41" xfId="0" applyNumberFormat="1" applyFont="1" applyBorder="1" applyAlignment="1">
      <alignment horizontal="center"/>
    </xf>
    <xf numFmtId="0" fontId="6" fillId="0" borderId="41" xfId="0" applyFont="1" applyBorder="1" applyAlignment="1">
      <alignment wrapText="1"/>
    </xf>
    <xf numFmtId="0" fontId="7" fillId="0" borderId="41" xfId="0" applyNumberFormat="1" applyFont="1" applyFill="1" applyBorder="1" applyAlignment="1">
      <alignment horizontal="center"/>
    </xf>
    <xf numFmtId="3" fontId="54" fillId="28" borderId="88" xfId="0" applyNumberFormat="1" applyFont="1" applyFill="1" applyBorder="1" applyAlignment="1">
      <alignment horizontal="center" wrapText="1"/>
    </xf>
    <xf numFmtId="3" fontId="54" fillId="28" borderId="20" xfId="0" applyNumberFormat="1" applyFont="1" applyFill="1" applyBorder="1" applyAlignment="1">
      <alignment horizontal="center" wrapText="1"/>
    </xf>
    <xf numFmtId="9" fontId="55" fillId="28" borderId="41" xfId="0" applyNumberFormat="1" applyFont="1" applyFill="1" applyBorder="1" applyAlignment="1">
      <alignment horizontal="center"/>
    </xf>
    <xf numFmtId="9" fontId="55" fillId="28" borderId="38" xfId="0" applyNumberFormat="1" applyFont="1" applyFill="1" applyBorder="1" applyAlignment="1">
      <alignment horizontal="center"/>
    </xf>
    <xf numFmtId="9" fontId="54" fillId="28" borderId="23" xfId="0" applyNumberFormat="1" applyFont="1" applyFill="1" applyBorder="1" applyAlignment="1">
      <alignment horizontal="center"/>
    </xf>
    <xf numFmtId="3" fontId="34" fillId="0" borderId="72" xfId="0" applyNumberFormat="1" applyFont="1" applyBorder="1" applyAlignment="1">
      <alignment/>
    </xf>
    <xf numFmtId="3" fontId="34" fillId="0" borderId="41" xfId="0" applyNumberFormat="1" applyFont="1" applyBorder="1" applyAlignment="1">
      <alignment/>
    </xf>
    <xf numFmtId="3" fontId="34" fillId="22" borderId="41" xfId="0" applyNumberFormat="1" applyFont="1" applyFill="1" applyBorder="1" applyAlignment="1">
      <alignment horizontal="center"/>
    </xf>
    <xf numFmtId="3" fontId="34" fillId="28" borderId="41" xfId="0" applyNumberFormat="1" applyFont="1" applyFill="1" applyBorder="1" applyAlignment="1">
      <alignment horizontal="center"/>
    </xf>
    <xf numFmtId="3" fontId="34" fillId="28" borderId="44" xfId="0" applyNumberFormat="1" applyFont="1" applyFill="1" applyBorder="1" applyAlignment="1">
      <alignment horizontal="center"/>
    </xf>
    <xf numFmtId="3" fontId="34" fillId="4" borderId="85" xfId="0" applyNumberFormat="1" applyFont="1" applyFill="1" applyBorder="1" applyAlignment="1">
      <alignment horizontal="center" wrapText="1"/>
    </xf>
    <xf numFmtId="0" fontId="2" fillId="29" borderId="0" xfId="0" applyFont="1" applyFill="1" applyBorder="1" applyAlignment="1">
      <alignment/>
    </xf>
    <xf numFmtId="0" fontId="47" fillId="0" borderId="78" xfId="0" applyFont="1" applyBorder="1" applyAlignment="1">
      <alignment wrapText="1"/>
    </xf>
    <xf numFmtId="0" fontId="47" fillId="28" borderId="71" xfId="0" applyFont="1" applyFill="1" applyBorder="1" applyAlignment="1">
      <alignment horizontal="left"/>
    </xf>
    <xf numFmtId="0" fontId="0" fillId="0" borderId="0" xfId="0" applyFont="1" applyAlignment="1">
      <alignment/>
    </xf>
    <xf numFmtId="0" fontId="6" fillId="0" borderId="0" xfId="0" applyFont="1" applyFill="1" applyAlignment="1">
      <alignment wrapText="1"/>
    </xf>
    <xf numFmtId="0" fontId="6" fillId="0" borderId="0" xfId="0" applyFont="1" applyFill="1" applyAlignment="1">
      <alignment/>
    </xf>
    <xf numFmtId="3" fontId="6" fillId="0" borderId="0" xfId="0" applyNumberFormat="1" applyFont="1" applyFill="1" applyAlignment="1">
      <alignment/>
    </xf>
    <xf numFmtId="0" fontId="0" fillId="0" borderId="0" xfId="0" applyFont="1" applyAlignment="1">
      <alignment/>
    </xf>
    <xf numFmtId="0" fontId="2" fillId="0" borderId="62" xfId="0" applyFont="1" applyBorder="1" applyAlignment="1">
      <alignment/>
    </xf>
    <xf numFmtId="0" fontId="2" fillId="0" borderId="29" xfId="0" applyFont="1" applyBorder="1" applyAlignment="1">
      <alignment/>
    </xf>
    <xf numFmtId="0" fontId="2" fillId="0" borderId="29" xfId="0" applyFont="1" applyBorder="1" applyAlignment="1">
      <alignment wrapText="1"/>
    </xf>
    <xf numFmtId="0" fontId="2" fillId="0" borderId="49" xfId="0" applyFont="1" applyBorder="1" applyAlignment="1">
      <alignment/>
    </xf>
    <xf numFmtId="0" fontId="0" fillId="0" borderId="0" xfId="0" applyFont="1" applyAlignment="1">
      <alignment/>
    </xf>
    <xf numFmtId="0" fontId="47" fillId="22" borderId="74" xfId="0" applyNumberFormat="1" applyFont="1" applyFill="1" applyBorder="1" applyAlignment="1">
      <alignment horizontal="center" wrapText="1"/>
    </xf>
    <xf numFmtId="0" fontId="3" fillId="7" borderId="94" xfId="0" applyFont="1" applyFill="1" applyBorder="1" applyAlignment="1">
      <alignment horizontal="center" wrapText="1"/>
    </xf>
    <xf numFmtId="0" fontId="1" fillId="7" borderId="95" xfId="0" applyFont="1" applyFill="1" applyBorder="1" applyAlignment="1">
      <alignment wrapText="1"/>
    </xf>
    <xf numFmtId="0" fontId="1" fillId="7" borderId="96" xfId="0" applyFont="1" applyFill="1" applyBorder="1" applyAlignment="1">
      <alignment horizontal="center" wrapText="1"/>
    </xf>
    <xf numFmtId="0" fontId="0" fillId="0" borderId="95" xfId="0" applyBorder="1" applyAlignment="1">
      <alignment wrapText="1"/>
    </xf>
    <xf numFmtId="3" fontId="0" fillId="0" borderId="96" xfId="0" applyNumberFormat="1" applyBorder="1" applyAlignment="1">
      <alignment horizontal="center" wrapText="1"/>
    </xf>
    <xf numFmtId="0" fontId="1" fillId="30" borderId="95" xfId="0" applyFont="1" applyFill="1" applyBorder="1" applyAlignment="1">
      <alignment wrapText="1"/>
    </xf>
    <xf numFmtId="3" fontId="1" fillId="30" borderId="96" xfId="0" applyNumberFormat="1" applyFont="1" applyFill="1" applyBorder="1" applyAlignment="1">
      <alignment horizontal="center" wrapText="1"/>
    </xf>
    <xf numFmtId="3" fontId="0" fillId="0" borderId="0" xfId="0" applyNumberFormat="1" applyFill="1" applyBorder="1" applyAlignment="1">
      <alignment horizontal="center" wrapText="1"/>
    </xf>
    <xf numFmtId="0" fontId="1" fillId="0" borderId="95" xfId="0" applyFont="1" applyFill="1" applyBorder="1" applyAlignment="1">
      <alignment wrapText="1"/>
    </xf>
    <xf numFmtId="0" fontId="2" fillId="0" borderId="0" xfId="0" applyFont="1" applyFill="1" applyAlignment="1">
      <alignment/>
    </xf>
    <xf numFmtId="0" fontId="2" fillId="0" borderId="0" xfId="0" applyFont="1" applyFill="1" applyAlignment="1">
      <alignment/>
    </xf>
    <xf numFmtId="0" fontId="3" fillId="0" borderId="97" xfId="0" applyFont="1" applyFill="1" applyBorder="1" applyAlignment="1">
      <alignment horizontal="center" wrapText="1"/>
    </xf>
    <xf numFmtId="0" fontId="0" fillId="0" borderId="95" xfId="0" applyFill="1" applyBorder="1" applyAlignment="1">
      <alignment wrapText="1"/>
    </xf>
    <xf numFmtId="3" fontId="0" fillId="0" borderId="96" xfId="0" applyNumberFormat="1" applyFill="1" applyBorder="1" applyAlignment="1">
      <alignment horizontal="center" wrapText="1"/>
    </xf>
    <xf numFmtId="3" fontId="1" fillId="0" borderId="96" xfId="0" applyNumberFormat="1" applyFont="1" applyFill="1" applyBorder="1" applyAlignment="1">
      <alignment horizontal="center" wrapText="1"/>
    </xf>
    <xf numFmtId="0" fontId="50" fillId="0" borderId="0" xfId="0" applyFont="1" applyFill="1" applyBorder="1" applyAlignment="1">
      <alignment/>
    </xf>
    <xf numFmtId="0" fontId="0" fillId="0" borderId="0" xfId="0" applyFill="1" applyBorder="1" applyAlignment="1">
      <alignment wrapText="1"/>
    </xf>
    <xf numFmtId="1" fontId="50" fillId="0" borderId="0" xfId="0" applyNumberFormat="1" applyFont="1" applyFill="1" applyBorder="1" applyAlignment="1">
      <alignment horizontal="center"/>
    </xf>
    <xf numFmtId="0" fontId="64" fillId="0" borderId="96" xfId="0" applyFont="1" applyFill="1" applyBorder="1" applyAlignment="1">
      <alignment horizontal="center" wrapText="1"/>
    </xf>
    <xf numFmtId="3" fontId="1" fillId="7" borderId="96" xfId="0" applyNumberFormat="1" applyFont="1" applyFill="1" applyBorder="1" applyAlignment="1">
      <alignment horizontal="center" wrapText="1"/>
    </xf>
    <xf numFmtId="0" fontId="7" fillId="7" borderId="95" xfId="0" applyFont="1" applyFill="1" applyBorder="1" applyAlignment="1">
      <alignment wrapText="1"/>
    </xf>
    <xf numFmtId="0" fontId="47" fillId="0" borderId="0" xfId="0" applyFont="1" applyFill="1" applyBorder="1" applyAlignment="1">
      <alignment horizontal="center" wrapText="1"/>
    </xf>
    <xf numFmtId="0" fontId="65" fillId="0" borderId="0" xfId="0" applyFont="1" applyFill="1" applyBorder="1" applyAlignment="1">
      <alignment wrapText="1"/>
    </xf>
    <xf numFmtId="0" fontId="65" fillId="0" borderId="0" xfId="0" applyFont="1" applyFill="1" applyBorder="1" applyAlignment="1">
      <alignment horizontal="center" wrapText="1"/>
    </xf>
    <xf numFmtId="0" fontId="50" fillId="0" borderId="0" xfId="0" applyFont="1" applyFill="1" applyBorder="1" applyAlignment="1">
      <alignment wrapText="1"/>
    </xf>
    <xf numFmtId="1" fontId="50" fillId="0" borderId="0" xfId="0" applyNumberFormat="1" applyFont="1" applyFill="1" applyBorder="1" applyAlignment="1">
      <alignment wrapText="1"/>
    </xf>
    <xf numFmtId="3" fontId="50" fillId="0" borderId="0" xfId="0" applyNumberFormat="1" applyFont="1" applyFill="1" applyBorder="1" applyAlignment="1">
      <alignment horizontal="center" wrapText="1"/>
    </xf>
    <xf numFmtId="3" fontId="66" fillId="0" borderId="0" xfId="0" applyNumberFormat="1" applyFont="1" applyFill="1" applyBorder="1" applyAlignment="1">
      <alignment horizontal="center" wrapText="1"/>
    </xf>
    <xf numFmtId="0" fontId="50" fillId="0" borderId="0" xfId="0" applyFont="1" applyFill="1" applyBorder="1" applyAlignment="1">
      <alignment horizontal="center" wrapText="1"/>
    </xf>
    <xf numFmtId="3" fontId="50" fillId="0" borderId="0" xfId="0" applyNumberFormat="1" applyFont="1" applyFill="1" applyBorder="1" applyAlignment="1">
      <alignment/>
    </xf>
    <xf numFmtId="0" fontId="1" fillId="0" borderId="0" xfId="0" applyFont="1" applyFill="1" applyBorder="1" applyAlignment="1">
      <alignment horizontal="center" wrapText="1"/>
    </xf>
    <xf numFmtId="1" fontId="0" fillId="0" borderId="0" xfId="0" applyNumberFormat="1" applyFill="1" applyAlignment="1">
      <alignment/>
    </xf>
    <xf numFmtId="0" fontId="0" fillId="7" borderId="0" xfId="0" applyFill="1" applyAlignment="1">
      <alignment/>
    </xf>
    <xf numFmtId="0" fontId="4" fillId="7" borderId="0" xfId="0" applyFont="1" applyFill="1" applyAlignment="1">
      <alignment/>
    </xf>
    <xf numFmtId="3" fontId="4" fillId="7" borderId="0" xfId="0" applyNumberFormat="1" applyFont="1" applyFill="1" applyAlignment="1">
      <alignment/>
    </xf>
    <xf numFmtId="3" fontId="1" fillId="30" borderId="0" xfId="0" applyNumberFormat="1" applyFont="1" applyFill="1" applyAlignment="1">
      <alignment/>
    </xf>
    <xf numFmtId="0" fontId="7" fillId="0" borderId="95" xfId="0" applyFont="1" applyFill="1" applyBorder="1" applyAlignment="1">
      <alignment wrapText="1"/>
    </xf>
    <xf numFmtId="3" fontId="7" fillId="0" borderId="96" xfId="0" applyNumberFormat="1" applyFont="1" applyFill="1" applyBorder="1" applyAlignment="1">
      <alignment horizontal="center" wrapText="1"/>
    </xf>
    <xf numFmtId="0" fontId="3" fillId="0" borderId="0" xfId="0" applyFont="1" applyFill="1" applyBorder="1" applyAlignment="1">
      <alignment horizontal="center" wrapText="1"/>
    </xf>
    <xf numFmtId="0" fontId="1" fillId="0" borderId="0" xfId="0" applyFont="1" applyFill="1" applyBorder="1" applyAlignment="1">
      <alignment wrapText="1"/>
    </xf>
    <xf numFmtId="3" fontId="1" fillId="0" borderId="0" xfId="0" applyNumberFormat="1" applyFont="1" applyFill="1" applyBorder="1" applyAlignment="1">
      <alignment horizontal="center" wrapText="1"/>
    </xf>
    <xf numFmtId="0" fontId="64" fillId="0" borderId="0" xfId="0" applyFont="1" applyFill="1" applyBorder="1" applyAlignment="1">
      <alignment horizontal="center" wrapText="1"/>
    </xf>
    <xf numFmtId="3" fontId="3" fillId="0" borderId="0" xfId="0" applyNumberFormat="1" applyFont="1" applyAlignment="1">
      <alignment/>
    </xf>
    <xf numFmtId="0" fontId="59" fillId="0" borderId="0" xfId="59" applyFont="1">
      <alignment/>
      <protection/>
    </xf>
    <xf numFmtId="0" fontId="6" fillId="0" borderId="0" xfId="59">
      <alignment/>
      <protection/>
    </xf>
    <xf numFmtId="0" fontId="68" fillId="0" borderId="0" xfId="59" applyFont="1">
      <alignment/>
      <protection/>
    </xf>
    <xf numFmtId="0" fontId="62" fillId="0" borderId="0" xfId="59" applyFont="1">
      <alignment/>
      <protection/>
    </xf>
    <xf numFmtId="17" fontId="62" fillId="0" borderId="0" xfId="59" applyNumberFormat="1" applyFont="1">
      <alignment/>
      <protection/>
    </xf>
    <xf numFmtId="0" fontId="6" fillId="0" borderId="0" xfId="59" applyFill="1">
      <alignment/>
      <protection/>
    </xf>
    <xf numFmtId="0" fontId="6" fillId="0" borderId="34" xfId="59" applyBorder="1">
      <alignment/>
      <protection/>
    </xf>
    <xf numFmtId="0" fontId="71" fillId="0" borderId="0" xfId="59" applyFont="1">
      <alignment/>
      <protection/>
    </xf>
    <xf numFmtId="0" fontId="16" fillId="20" borderId="39" xfId="59" applyFont="1" applyFill="1" applyBorder="1" applyAlignment="1">
      <alignment horizontal="center" vertical="center"/>
      <protection/>
    </xf>
    <xf numFmtId="1" fontId="16" fillId="20" borderId="39" xfId="59" applyNumberFormat="1" applyFont="1" applyFill="1" applyBorder="1" applyAlignment="1">
      <alignment horizontal="center" vertical="center"/>
      <protection/>
    </xf>
    <xf numFmtId="3" fontId="16" fillId="20" borderId="0" xfId="59" applyNumberFormat="1" applyFont="1" applyFill="1" applyBorder="1" applyAlignment="1">
      <alignment horizontal="center"/>
      <protection/>
    </xf>
    <xf numFmtId="3" fontId="72" fillId="20" borderId="0" xfId="59" applyNumberFormat="1" applyFont="1" applyFill="1" applyBorder="1" applyAlignment="1">
      <alignment horizontal="center"/>
      <protection/>
    </xf>
    <xf numFmtId="0" fontId="16" fillId="20" borderId="0" xfId="59" applyFont="1" applyFill="1">
      <alignment/>
      <protection/>
    </xf>
    <xf numFmtId="0" fontId="16" fillId="20" borderId="0" xfId="59" applyFont="1" applyFill="1" applyBorder="1" applyAlignment="1">
      <alignment horizontal="center"/>
      <protection/>
    </xf>
    <xf numFmtId="164" fontId="16" fillId="20" borderId="39" xfId="59" applyNumberFormat="1" applyFont="1" applyFill="1" applyBorder="1" applyAlignment="1">
      <alignment horizontal="center" vertical="center"/>
      <protection/>
    </xf>
    <xf numFmtId="1" fontId="16" fillId="20" borderId="39" xfId="59" applyNumberFormat="1" applyFont="1" applyFill="1" applyBorder="1" applyAlignment="1">
      <alignment horizontal="center" vertical="center" wrapText="1" shrinkToFit="1"/>
      <protection/>
    </xf>
    <xf numFmtId="1" fontId="16" fillId="20" borderId="40" xfId="59" applyNumberFormat="1" applyFont="1" applyFill="1" applyBorder="1" applyAlignment="1">
      <alignment horizontal="center" vertical="center"/>
      <protection/>
    </xf>
    <xf numFmtId="2" fontId="16" fillId="20" borderId="40" xfId="59" applyNumberFormat="1" applyFont="1" applyFill="1" applyBorder="1" applyAlignment="1">
      <alignment horizontal="center" vertical="center"/>
      <protection/>
    </xf>
    <xf numFmtId="0" fontId="6" fillId="7" borderId="39" xfId="59" applyFill="1" applyBorder="1" applyAlignment="1">
      <alignment horizontal="center" vertical="center" wrapText="1"/>
      <protection/>
    </xf>
    <xf numFmtId="0" fontId="6" fillId="7" borderId="39" xfId="59" applyFill="1" applyBorder="1" applyAlignment="1">
      <alignment horizontal="center" vertical="center"/>
      <protection/>
    </xf>
    <xf numFmtId="1" fontId="6" fillId="7" borderId="39" xfId="59" applyNumberFormat="1" applyFill="1" applyBorder="1" applyAlignment="1">
      <alignment horizontal="center" vertical="center"/>
      <protection/>
    </xf>
    <xf numFmtId="3" fontId="6" fillId="7" borderId="0" xfId="59" applyNumberFormat="1" applyFill="1" applyBorder="1" applyAlignment="1">
      <alignment horizontal="center"/>
      <protection/>
    </xf>
    <xf numFmtId="3" fontId="7" fillId="7" borderId="0" xfId="59" applyNumberFormat="1" applyFont="1" applyFill="1" applyBorder="1" applyAlignment="1">
      <alignment horizontal="center"/>
      <protection/>
    </xf>
    <xf numFmtId="0" fontId="6" fillId="7" borderId="0" xfId="59" applyFill="1">
      <alignment/>
      <protection/>
    </xf>
    <xf numFmtId="0" fontId="6" fillId="7" borderId="0" xfId="59" applyFill="1" applyBorder="1" applyAlignment="1">
      <alignment horizontal="center"/>
      <protection/>
    </xf>
    <xf numFmtId="164" fontId="6" fillId="7" borderId="39" xfId="59" applyNumberFormat="1" applyFill="1" applyBorder="1" applyAlignment="1">
      <alignment horizontal="center" vertical="center"/>
      <protection/>
    </xf>
    <xf numFmtId="1" fontId="6" fillId="7" borderId="39" xfId="59" applyNumberFormat="1" applyFill="1" applyBorder="1" applyAlignment="1">
      <alignment horizontal="center" vertical="center" wrapText="1" shrinkToFit="1"/>
      <protection/>
    </xf>
    <xf numFmtId="1" fontId="6" fillId="7" borderId="40" xfId="59" applyNumberFormat="1" applyFill="1" applyBorder="1" applyAlignment="1">
      <alignment horizontal="center" vertical="center"/>
      <protection/>
    </xf>
    <xf numFmtId="0" fontId="6" fillId="0" borderId="39" xfId="59" applyBorder="1" applyAlignment="1">
      <alignment vertical="center"/>
      <protection/>
    </xf>
    <xf numFmtId="0" fontId="6" fillId="0" borderId="39" xfId="59" applyFill="1" applyBorder="1" applyAlignment="1">
      <alignment vertical="center"/>
      <protection/>
    </xf>
    <xf numFmtId="3" fontId="62" fillId="0" borderId="0" xfId="59" applyNumberFormat="1" applyFont="1" applyAlignment="1">
      <alignment horizontal="center"/>
      <protection/>
    </xf>
    <xf numFmtId="164" fontId="6" fillId="0" borderId="39" xfId="59" applyNumberFormat="1" applyFill="1" applyBorder="1" applyAlignment="1">
      <alignment horizontal="center" vertical="center"/>
      <protection/>
    </xf>
    <xf numFmtId="3" fontId="6" fillId="0" borderId="0" xfId="59" applyNumberFormat="1" applyAlignment="1">
      <alignment horizontal="center"/>
      <protection/>
    </xf>
    <xf numFmtId="0" fontId="6" fillId="0" borderId="0" xfId="59" applyBorder="1" applyAlignment="1">
      <alignment vertical="center"/>
      <protection/>
    </xf>
    <xf numFmtId="1" fontId="6" fillId="0" borderId="0" xfId="59" applyNumberFormat="1" applyFill="1" applyBorder="1" applyAlignment="1">
      <alignment vertical="center"/>
      <protection/>
    </xf>
    <xf numFmtId="0" fontId="6" fillId="0" borderId="0" xfId="59" applyFill="1" applyBorder="1" applyAlignment="1">
      <alignment vertical="center"/>
      <protection/>
    </xf>
    <xf numFmtId="2" fontId="6" fillId="0" borderId="0" xfId="59" applyNumberFormat="1" applyBorder="1" applyAlignment="1">
      <alignment vertical="center"/>
      <protection/>
    </xf>
    <xf numFmtId="0" fontId="6" fillId="0" borderId="0" xfId="59" applyAlignment="1">
      <alignment wrapText="1"/>
      <protection/>
    </xf>
    <xf numFmtId="3" fontId="6" fillId="0" borderId="0" xfId="59" applyNumberFormat="1">
      <alignment/>
      <protection/>
    </xf>
    <xf numFmtId="9" fontId="6" fillId="0" borderId="0" xfId="59" applyNumberFormat="1">
      <alignment/>
      <protection/>
    </xf>
    <xf numFmtId="10" fontId="6" fillId="0" borderId="0" xfId="59" applyNumberFormat="1">
      <alignment/>
      <protection/>
    </xf>
    <xf numFmtId="0" fontId="6" fillId="0" borderId="0" xfId="58">
      <alignment/>
      <protection/>
    </xf>
    <xf numFmtId="0" fontId="6" fillId="0" borderId="0" xfId="58">
      <alignment/>
      <protection/>
    </xf>
    <xf numFmtId="0" fontId="6" fillId="9" borderId="41" xfId="58" applyFill="1" applyBorder="1">
      <alignment/>
      <protection/>
    </xf>
    <xf numFmtId="0" fontId="6" fillId="9" borderId="41" xfId="58" applyFill="1" applyBorder="1" applyAlignment="1">
      <alignment vertical="top" wrapText="1"/>
      <protection/>
    </xf>
    <xf numFmtId="0" fontId="6" fillId="7" borderId="41" xfId="58" applyFill="1" applyBorder="1">
      <alignment/>
      <protection/>
    </xf>
    <xf numFmtId="1" fontId="6" fillId="0" borderId="41" xfId="58" applyNumberFormat="1" applyBorder="1">
      <alignment/>
      <protection/>
    </xf>
    <xf numFmtId="167" fontId="6" fillId="0" borderId="41" xfId="58" applyNumberFormat="1" applyBorder="1">
      <alignment/>
      <protection/>
    </xf>
    <xf numFmtId="0" fontId="7" fillId="0" borderId="0" xfId="58" applyFont="1">
      <alignment/>
      <protection/>
    </xf>
    <xf numFmtId="0" fontId="6" fillId="7" borderId="41" xfId="58" applyFill="1" applyBorder="1" applyAlignment="1">
      <alignment wrapText="1"/>
      <protection/>
    </xf>
    <xf numFmtId="0" fontId="6" fillId="0" borderId="0" xfId="58" applyFill="1">
      <alignment/>
      <protection/>
    </xf>
    <xf numFmtId="0" fontId="6" fillId="0" borderId="39" xfId="58" applyBorder="1" applyAlignment="1">
      <alignment vertical="center"/>
      <protection/>
    </xf>
    <xf numFmtId="1" fontId="6" fillId="0" borderId="39" xfId="58" applyNumberFormat="1" applyFill="1" applyBorder="1" applyAlignment="1">
      <alignment vertical="center"/>
      <protection/>
    </xf>
    <xf numFmtId="0" fontId="6" fillId="0" borderId="39" xfId="58" applyFill="1" applyBorder="1" applyAlignment="1">
      <alignment vertical="center"/>
      <protection/>
    </xf>
    <xf numFmtId="2" fontId="6" fillId="0" borderId="39" xfId="58" applyNumberFormat="1" applyBorder="1" applyAlignment="1">
      <alignment vertical="center"/>
      <protection/>
    </xf>
    <xf numFmtId="1" fontId="6" fillId="0" borderId="0" xfId="58" applyNumberFormat="1" applyFill="1">
      <alignment/>
      <protection/>
    </xf>
    <xf numFmtId="3" fontId="6" fillId="0" borderId="0" xfId="58" applyNumberFormat="1">
      <alignment/>
      <protection/>
    </xf>
    <xf numFmtId="0" fontId="6" fillId="0" borderId="0" xfId="58" applyAlignment="1">
      <alignment wrapText="1"/>
      <protection/>
    </xf>
    <xf numFmtId="9" fontId="6" fillId="0" borderId="0" xfId="58" applyNumberFormat="1">
      <alignment/>
      <protection/>
    </xf>
    <xf numFmtId="10" fontId="6" fillId="0" borderId="0" xfId="58" applyNumberFormat="1">
      <alignment/>
      <protection/>
    </xf>
    <xf numFmtId="2" fontId="6" fillId="0" borderId="0" xfId="58" applyNumberFormat="1">
      <alignment/>
      <protection/>
    </xf>
    <xf numFmtId="0" fontId="6" fillId="0" borderId="0" xfId="58" applyFont="1">
      <alignment/>
      <protection/>
    </xf>
    <xf numFmtId="2" fontId="4" fillId="20" borderId="39" xfId="59" applyNumberFormat="1" applyFont="1" applyFill="1" applyBorder="1" applyAlignment="1">
      <alignment horizontal="center" vertical="center"/>
      <protection/>
    </xf>
    <xf numFmtId="2" fontId="4" fillId="7" borderId="39" xfId="59" applyNumberFormat="1" applyFont="1" applyFill="1" applyBorder="1" applyAlignment="1">
      <alignment horizontal="center" vertical="center"/>
      <protection/>
    </xf>
    <xf numFmtId="2" fontId="4" fillId="0" borderId="39" xfId="59" applyNumberFormat="1" applyFont="1" applyBorder="1" applyAlignment="1">
      <alignment vertical="center"/>
      <protection/>
    </xf>
    <xf numFmtId="1" fontId="4" fillId="20" borderId="39" xfId="59" applyNumberFormat="1" applyFont="1" applyFill="1" applyBorder="1" applyAlignment="1">
      <alignment horizontal="center" vertical="center"/>
      <protection/>
    </xf>
    <xf numFmtId="1" fontId="4" fillId="7" borderId="39" xfId="59" applyNumberFormat="1" applyFont="1" applyFill="1" applyBorder="1" applyAlignment="1">
      <alignment horizontal="center" vertical="center"/>
      <protection/>
    </xf>
    <xf numFmtId="1" fontId="4" fillId="0" borderId="39" xfId="59" applyNumberFormat="1" applyFont="1" applyFill="1" applyBorder="1" applyAlignment="1">
      <alignment vertical="center"/>
      <protection/>
    </xf>
    <xf numFmtId="0" fontId="4" fillId="0" borderId="39" xfId="59" applyFont="1" applyFill="1" applyBorder="1" applyAlignment="1">
      <alignment vertical="center"/>
      <protection/>
    </xf>
    <xf numFmtId="3" fontId="0" fillId="22" borderId="0" xfId="0" applyNumberFormat="1" applyFill="1" applyAlignment="1">
      <alignment/>
    </xf>
    <xf numFmtId="3" fontId="7" fillId="22" borderId="0" xfId="0" applyNumberFormat="1" applyFont="1" applyFill="1" applyBorder="1" applyAlignment="1">
      <alignment horizontal="center" wrapText="1"/>
    </xf>
    <xf numFmtId="3" fontId="3" fillId="22" borderId="0" xfId="0" applyNumberFormat="1" applyFont="1" applyFill="1" applyAlignment="1">
      <alignment/>
    </xf>
    <xf numFmtId="0" fontId="7" fillId="22" borderId="0" xfId="0" applyFont="1" applyFill="1" applyAlignment="1">
      <alignment/>
    </xf>
    <xf numFmtId="1" fontId="7" fillId="0" borderId="38" xfId="59" applyNumberFormat="1" applyFont="1" applyFill="1" applyBorder="1" applyAlignment="1">
      <alignment horizontal="center" vertical="center"/>
      <protection/>
    </xf>
    <xf numFmtId="0" fontId="6" fillId="0" borderId="0" xfId="59" applyBorder="1">
      <alignment/>
      <protection/>
    </xf>
    <xf numFmtId="1" fontId="6" fillId="0" borderId="0" xfId="59" applyNumberFormat="1" applyBorder="1" applyAlignment="1">
      <alignment horizontal="center"/>
      <protection/>
    </xf>
    <xf numFmtId="0" fontId="6" fillId="0" borderId="18" xfId="59" applyBorder="1">
      <alignment/>
      <protection/>
    </xf>
    <xf numFmtId="1" fontId="6" fillId="4" borderId="20" xfId="59" applyNumberFormat="1" applyFill="1" applyBorder="1" applyAlignment="1">
      <alignment horizontal="center"/>
      <protection/>
    </xf>
    <xf numFmtId="0" fontId="7" fillId="4" borderId="20" xfId="59" applyFont="1" applyFill="1" applyBorder="1" applyAlignment="1">
      <alignment horizontal="center"/>
      <protection/>
    </xf>
    <xf numFmtId="1" fontId="6" fillId="7" borderId="20" xfId="59" applyNumberFormat="1" applyFill="1" applyBorder="1" applyAlignment="1">
      <alignment horizontal="center"/>
      <protection/>
    </xf>
    <xf numFmtId="0" fontId="0" fillId="7" borderId="20" xfId="0" applyFill="1" applyBorder="1" applyAlignment="1">
      <alignment/>
    </xf>
    <xf numFmtId="1" fontId="6" fillId="0" borderId="21" xfId="59" applyNumberFormat="1" applyBorder="1" applyAlignment="1">
      <alignment horizontal="center"/>
      <protection/>
    </xf>
    <xf numFmtId="0" fontId="6" fillId="0" borderId="98" xfId="59" applyBorder="1">
      <alignment/>
      <protection/>
    </xf>
    <xf numFmtId="1" fontId="7" fillId="4" borderId="99" xfId="59" applyNumberFormat="1" applyFont="1" applyFill="1" applyBorder="1" applyAlignment="1">
      <alignment horizontal="center"/>
      <protection/>
    </xf>
    <xf numFmtId="0" fontId="6" fillId="0" borderId="100" xfId="59" applyBorder="1">
      <alignment/>
      <protection/>
    </xf>
    <xf numFmtId="2" fontId="7" fillId="7" borderId="99" xfId="59" applyNumberFormat="1" applyFont="1" applyFill="1" applyBorder="1" applyAlignment="1">
      <alignment horizontal="center"/>
      <protection/>
    </xf>
    <xf numFmtId="0" fontId="7" fillId="28" borderId="101" xfId="59" applyFont="1" applyFill="1" applyBorder="1" applyAlignment="1">
      <alignment horizontal="center"/>
      <protection/>
    </xf>
    <xf numFmtId="1" fontId="7" fillId="28" borderId="98" xfId="59" applyNumberFormat="1" applyFont="1" applyFill="1" applyBorder="1" applyAlignment="1">
      <alignment horizontal="center"/>
      <protection/>
    </xf>
    <xf numFmtId="0" fontId="6" fillId="0" borderId="21" xfId="59" applyBorder="1" applyAlignment="1">
      <alignment wrapText="1"/>
      <protection/>
    </xf>
    <xf numFmtId="0" fontId="6" fillId="0" borderId="101" xfId="59" applyBorder="1" applyAlignment="1">
      <alignment wrapText="1"/>
      <protection/>
    </xf>
    <xf numFmtId="3" fontId="7" fillId="0" borderId="0" xfId="59" applyNumberFormat="1" applyFont="1" applyAlignment="1">
      <alignment horizontal="center"/>
      <protection/>
    </xf>
    <xf numFmtId="2" fontId="7" fillId="7" borderId="40" xfId="59" applyNumberFormat="1" applyFont="1" applyFill="1" applyBorder="1" applyAlignment="1">
      <alignment horizontal="center" vertical="center"/>
      <protection/>
    </xf>
    <xf numFmtId="0" fontId="6" fillId="0" borderId="89" xfId="59" applyBorder="1" applyAlignment="1">
      <alignment wrapText="1"/>
      <protection/>
    </xf>
    <xf numFmtId="0" fontId="6" fillId="0" borderId="50" xfId="59" applyBorder="1">
      <alignment/>
      <protection/>
    </xf>
    <xf numFmtId="0" fontId="6" fillId="0" borderId="90" xfId="59" applyBorder="1" applyAlignment="1">
      <alignment wrapText="1"/>
      <protection/>
    </xf>
    <xf numFmtId="0" fontId="6" fillId="0" borderId="51" xfId="59" applyBorder="1">
      <alignment/>
      <protection/>
    </xf>
    <xf numFmtId="1" fontId="7" fillId="4" borderId="36" xfId="59" applyNumberFormat="1" applyFont="1" applyFill="1" applyBorder="1" applyAlignment="1">
      <alignment horizontal="center"/>
      <protection/>
    </xf>
    <xf numFmtId="1" fontId="7" fillId="4" borderId="35" xfId="59" applyNumberFormat="1" applyFont="1" applyFill="1" applyBorder="1" applyAlignment="1">
      <alignment horizontal="center"/>
      <protection/>
    </xf>
    <xf numFmtId="0" fontId="6" fillId="0" borderId="102" xfId="59" applyFill="1" applyBorder="1" applyAlignment="1">
      <alignment vertical="center"/>
      <protection/>
    </xf>
    <xf numFmtId="0" fontId="6" fillId="0" borderId="103" xfId="59" applyFill="1" applyBorder="1" applyAlignment="1">
      <alignment vertical="center"/>
      <protection/>
    </xf>
    <xf numFmtId="0" fontId="7" fillId="4" borderId="104" xfId="59" applyFont="1" applyFill="1" applyBorder="1" applyAlignment="1">
      <alignment horizontal="center" vertical="center" wrapText="1"/>
      <protection/>
    </xf>
    <xf numFmtId="0" fontId="6" fillId="0" borderId="105" xfId="59" applyFill="1" applyBorder="1" applyAlignment="1">
      <alignment horizontal="center" vertical="center" wrapText="1"/>
      <protection/>
    </xf>
    <xf numFmtId="0" fontId="7" fillId="7" borderId="104" xfId="59" applyFont="1" applyFill="1" applyBorder="1" applyAlignment="1">
      <alignment horizontal="center" vertical="center" wrapText="1"/>
      <protection/>
    </xf>
    <xf numFmtId="0" fontId="6" fillId="0" borderId="102" xfId="59" applyFill="1" applyBorder="1" applyAlignment="1">
      <alignment horizontal="center" vertical="center" wrapText="1"/>
      <protection/>
    </xf>
    <xf numFmtId="0" fontId="6" fillId="0" borderId="103" xfId="59" applyBorder="1">
      <alignment/>
      <protection/>
    </xf>
    <xf numFmtId="0" fontId="51" fillId="0" borderId="21" xfId="59" applyFont="1" applyBorder="1" applyAlignment="1">
      <alignment wrapText="1"/>
      <protection/>
    </xf>
    <xf numFmtId="0" fontId="51" fillId="0" borderId="18" xfId="59" applyFont="1" applyBorder="1">
      <alignment/>
      <protection/>
    </xf>
    <xf numFmtId="1" fontId="51" fillId="4" borderId="20" xfId="59" applyNumberFormat="1" applyFont="1" applyFill="1" applyBorder="1" applyAlignment="1">
      <alignment horizontal="center"/>
      <protection/>
    </xf>
    <xf numFmtId="0" fontId="51" fillId="0" borderId="89" xfId="59" applyFont="1" applyBorder="1" applyAlignment="1">
      <alignment wrapText="1"/>
      <protection/>
    </xf>
    <xf numFmtId="0" fontId="51" fillId="0" borderId="50" xfId="59" applyFont="1" applyBorder="1">
      <alignment/>
      <protection/>
    </xf>
    <xf numFmtId="1" fontId="51" fillId="4" borderId="35" xfId="59" applyNumberFormat="1" applyFont="1" applyFill="1" applyBorder="1" applyAlignment="1">
      <alignment horizontal="center"/>
      <protection/>
    </xf>
    <xf numFmtId="0" fontId="6" fillId="7" borderId="0" xfId="59" applyFont="1" applyFill="1">
      <alignment/>
      <protection/>
    </xf>
    <xf numFmtId="0" fontId="0" fillId="22" borderId="0" xfId="0" applyFill="1" applyAlignment="1">
      <alignment/>
    </xf>
    <xf numFmtId="0" fontId="75" fillId="22" borderId="0" xfId="0" applyFont="1" applyFill="1" applyAlignment="1">
      <alignment/>
    </xf>
    <xf numFmtId="3" fontId="71" fillId="22" borderId="0" xfId="0" applyNumberFormat="1" applyFont="1" applyFill="1" applyAlignment="1">
      <alignment/>
    </xf>
    <xf numFmtId="0" fontId="71" fillId="0" borderId="62" xfId="0" applyFont="1" applyBorder="1" applyAlignment="1">
      <alignment/>
    </xf>
    <xf numFmtId="0" fontId="71" fillId="0" borderId="29" xfId="0" applyFont="1" applyBorder="1" applyAlignment="1">
      <alignment/>
    </xf>
    <xf numFmtId="0" fontId="71" fillId="0" borderId="49" xfId="0" applyFont="1" applyBorder="1" applyAlignment="1">
      <alignment/>
    </xf>
    <xf numFmtId="0" fontId="71" fillId="0" borderId="21" xfId="0" applyFont="1" applyBorder="1" applyAlignment="1">
      <alignment/>
    </xf>
    <xf numFmtId="0" fontId="71" fillId="0" borderId="0" xfId="0" applyFont="1" applyBorder="1" applyAlignment="1">
      <alignment/>
    </xf>
    <xf numFmtId="0" fontId="71" fillId="0" borderId="18" xfId="0" applyFont="1" applyBorder="1" applyAlignment="1">
      <alignment/>
    </xf>
    <xf numFmtId="3" fontId="71" fillId="0" borderId="0" xfId="0" applyNumberFormat="1" applyFont="1" applyBorder="1" applyAlignment="1">
      <alignment/>
    </xf>
    <xf numFmtId="3" fontId="50" fillId="0" borderId="22" xfId="0" applyNumberFormat="1" applyFont="1" applyFill="1" applyBorder="1" applyAlignment="1">
      <alignment/>
    </xf>
    <xf numFmtId="0" fontId="0" fillId="0" borderId="22" xfId="0" applyBorder="1" applyAlignment="1">
      <alignment/>
    </xf>
    <xf numFmtId="3" fontId="50" fillId="28" borderId="77" xfId="0" applyNumberFormat="1" applyFont="1" applyFill="1" applyBorder="1" applyAlignment="1">
      <alignment horizontal="center"/>
    </xf>
    <xf numFmtId="0" fontId="0" fillId="0" borderId="22" xfId="0" applyBorder="1" applyAlignment="1">
      <alignment wrapText="1"/>
    </xf>
    <xf numFmtId="0" fontId="0" fillId="0" borderId="33" xfId="0" applyBorder="1" applyAlignment="1">
      <alignment/>
    </xf>
    <xf numFmtId="3" fontId="1" fillId="30" borderId="95" xfId="0" applyNumberFormat="1" applyFont="1" applyFill="1" applyBorder="1" applyAlignment="1">
      <alignment wrapText="1"/>
    </xf>
    <xf numFmtId="3" fontId="8" fillId="0" borderId="0" xfId="0" applyNumberFormat="1" applyFont="1" applyBorder="1" applyAlignment="1">
      <alignment/>
    </xf>
    <xf numFmtId="3" fontId="6" fillId="0" borderId="106" xfId="0" applyNumberFormat="1" applyFont="1" applyBorder="1" applyAlignment="1">
      <alignment horizontal="center"/>
    </xf>
    <xf numFmtId="3" fontId="6" fillId="0" borderId="57" xfId="0" applyNumberFormat="1" applyFont="1" applyFill="1" applyBorder="1" applyAlignment="1">
      <alignment horizontal="center"/>
    </xf>
    <xf numFmtId="3" fontId="6" fillId="0" borderId="106" xfId="0" applyNumberFormat="1" applyFont="1" applyFill="1" applyBorder="1" applyAlignment="1">
      <alignment horizontal="center"/>
    </xf>
    <xf numFmtId="3" fontId="6" fillId="0" borderId="66" xfId="0" applyNumberFormat="1" applyFont="1" applyFill="1" applyBorder="1" applyAlignment="1">
      <alignment horizontal="center"/>
    </xf>
    <xf numFmtId="3" fontId="6" fillId="0" borderId="107" xfId="0" applyNumberFormat="1" applyFont="1" applyFill="1" applyBorder="1" applyAlignment="1">
      <alignment horizontal="center"/>
    </xf>
    <xf numFmtId="3" fontId="6" fillId="0" borderId="65" xfId="0" applyNumberFormat="1" applyFont="1" applyBorder="1" applyAlignment="1">
      <alignment horizontal="center"/>
    </xf>
    <xf numFmtId="0" fontId="8" fillId="0" borderId="21" xfId="0" applyFont="1" applyBorder="1" applyAlignment="1">
      <alignment/>
    </xf>
    <xf numFmtId="0" fontId="3" fillId="20" borderId="108" xfId="0" applyFont="1" applyFill="1" applyBorder="1" applyAlignment="1">
      <alignment/>
    </xf>
    <xf numFmtId="3" fontId="0" fillId="20" borderId="0" xfId="0" applyNumberFormat="1" applyFill="1" applyBorder="1" applyAlignment="1">
      <alignment horizontal="center"/>
    </xf>
    <xf numFmtId="0" fontId="3" fillId="20" borderId="0" xfId="0" applyFont="1" applyFill="1" applyBorder="1" applyAlignment="1">
      <alignment wrapText="1"/>
    </xf>
    <xf numFmtId="3" fontId="8" fillId="0" borderId="0" xfId="0" applyNumberFormat="1" applyFont="1" applyBorder="1" applyAlignment="1">
      <alignment wrapText="1"/>
    </xf>
    <xf numFmtId="0" fontId="6" fillId="0" borderId="65" xfId="0" applyFont="1" applyFill="1" applyBorder="1" applyAlignment="1">
      <alignment wrapText="1"/>
    </xf>
    <xf numFmtId="3" fontId="6" fillId="0" borderId="65" xfId="0" applyNumberFormat="1" applyFont="1" applyFill="1" applyBorder="1" applyAlignment="1">
      <alignment horizontal="center"/>
    </xf>
    <xf numFmtId="0" fontId="7" fillId="28" borderId="65" xfId="0" applyFont="1" applyFill="1" applyBorder="1" applyAlignment="1">
      <alignment wrapText="1"/>
    </xf>
    <xf numFmtId="3" fontId="8" fillId="28" borderId="106" xfId="0" applyNumberFormat="1" applyFont="1" applyFill="1" applyBorder="1" applyAlignment="1">
      <alignment horizontal="center"/>
    </xf>
    <xf numFmtId="3" fontId="6" fillId="28" borderId="0" xfId="0" applyNumberFormat="1" applyFont="1" applyFill="1" applyBorder="1" applyAlignment="1">
      <alignment horizontal="center"/>
    </xf>
    <xf numFmtId="0" fontId="0" fillId="0" borderId="109" xfId="0" applyBorder="1" applyAlignment="1">
      <alignment wrapText="1"/>
    </xf>
    <xf numFmtId="3" fontId="6" fillId="0" borderId="95" xfId="0" applyNumberFormat="1" applyFont="1" applyFill="1" applyBorder="1" applyAlignment="1">
      <alignment horizontal="center" wrapText="1"/>
    </xf>
    <xf numFmtId="0" fontId="7" fillId="0" borderId="0" xfId="0" applyFont="1" applyBorder="1" applyAlignment="1">
      <alignment/>
    </xf>
    <xf numFmtId="0" fontId="3" fillId="4" borderId="19" xfId="0" applyFont="1" applyFill="1" applyBorder="1" applyAlignment="1">
      <alignment/>
    </xf>
    <xf numFmtId="0" fontId="3" fillId="0" borderId="19" xfId="0" applyFont="1" applyBorder="1" applyAlignment="1">
      <alignment/>
    </xf>
    <xf numFmtId="3" fontId="6" fillId="0" borderId="109" xfId="0" applyNumberFormat="1" applyFont="1" applyFill="1" applyBorder="1" applyAlignment="1">
      <alignment horizontal="center" wrapText="1"/>
    </xf>
    <xf numFmtId="0" fontId="1" fillId="30" borderId="110" xfId="0" applyFont="1" applyFill="1" applyBorder="1" applyAlignment="1">
      <alignment wrapText="1"/>
    </xf>
    <xf numFmtId="3" fontId="1" fillId="30" borderId="22" xfId="0" applyNumberFormat="1" applyFont="1" applyFill="1" applyBorder="1" applyAlignment="1">
      <alignment horizontal="center"/>
    </xf>
    <xf numFmtId="3" fontId="1" fillId="30" borderId="33" xfId="0" applyNumberFormat="1" applyFont="1" applyFill="1" applyBorder="1" applyAlignment="1">
      <alignment horizontal="center"/>
    </xf>
    <xf numFmtId="0" fontId="6" fillId="0" borderId="62" xfId="0" applyFont="1" applyBorder="1" applyAlignment="1">
      <alignment/>
    </xf>
    <xf numFmtId="0" fontId="6" fillId="0" borderId="29" xfId="0" applyFont="1" applyBorder="1" applyAlignment="1">
      <alignment/>
    </xf>
    <xf numFmtId="0" fontId="6" fillId="0" borderId="49" xfId="0" applyFont="1" applyBorder="1" applyAlignment="1">
      <alignment/>
    </xf>
    <xf numFmtId="0" fontId="6" fillId="0" borderId="21" xfId="0" applyFont="1" applyBorder="1" applyAlignment="1">
      <alignment/>
    </xf>
    <xf numFmtId="0" fontId="6" fillId="0" borderId="21" xfId="0" applyFont="1" applyFill="1" applyBorder="1" applyAlignment="1">
      <alignment/>
    </xf>
    <xf numFmtId="0" fontId="6" fillId="0" borderId="0" xfId="0" applyFont="1" applyBorder="1" applyAlignment="1">
      <alignment wrapText="1"/>
    </xf>
    <xf numFmtId="0" fontId="6" fillId="0" borderId="63" xfId="0" applyFont="1" applyBorder="1" applyAlignment="1">
      <alignment/>
    </xf>
    <xf numFmtId="0" fontId="6" fillId="0" borderId="48" xfId="0" applyFont="1" applyBorder="1" applyAlignment="1">
      <alignment/>
    </xf>
    <xf numFmtId="0" fontId="3" fillId="6" borderId="111" xfId="0" applyFont="1" applyFill="1" applyBorder="1" applyAlignment="1">
      <alignment horizontal="center" wrapText="1"/>
    </xf>
    <xf numFmtId="0" fontId="3" fillId="6" borderId="112" xfId="0" applyFont="1" applyFill="1" applyBorder="1" applyAlignment="1">
      <alignment horizontal="center" wrapText="1"/>
    </xf>
    <xf numFmtId="0" fontId="0" fillId="0" borderId="112" xfId="0" applyBorder="1" applyAlignment="1">
      <alignment wrapText="1"/>
    </xf>
    <xf numFmtId="9" fontId="3" fillId="0" borderId="113" xfId="0" applyNumberFormat="1" applyFont="1" applyBorder="1" applyAlignment="1">
      <alignment horizontal="center" wrapText="1"/>
    </xf>
    <xf numFmtId="0" fontId="3" fillId="0" borderId="114" xfId="0" applyFont="1" applyBorder="1" applyAlignment="1">
      <alignment horizontal="center" wrapText="1"/>
    </xf>
    <xf numFmtId="0" fontId="0" fillId="0" borderId="115" xfId="0" applyBorder="1" applyAlignment="1">
      <alignment wrapText="1"/>
    </xf>
    <xf numFmtId="1" fontId="2" fillId="0" borderId="0" xfId="0" applyNumberFormat="1" applyFont="1" applyFill="1" applyAlignment="1">
      <alignment/>
    </xf>
    <xf numFmtId="0" fontId="48" fillId="0" borderId="0" xfId="0" applyFont="1" applyFill="1" applyAlignment="1">
      <alignment horizontal="center"/>
    </xf>
    <xf numFmtId="1" fontId="48" fillId="0" borderId="0" xfId="0" applyNumberFormat="1" applyFont="1" applyFill="1" applyAlignment="1">
      <alignment horizontal="center"/>
    </xf>
    <xf numFmtId="0" fontId="48" fillId="0" borderId="0" xfId="0" applyFont="1" applyAlignment="1">
      <alignment horizontal="center"/>
    </xf>
    <xf numFmtId="1" fontId="48" fillId="0" borderId="0" xfId="0" applyNumberFormat="1" applyFont="1" applyAlignment="1">
      <alignment horizontal="center"/>
    </xf>
    <xf numFmtId="3" fontId="48" fillId="0" borderId="0" xfId="0" applyNumberFormat="1" applyFont="1" applyAlignment="1">
      <alignment horizontal="center"/>
    </xf>
    <xf numFmtId="1" fontId="0" fillId="0" borderId="0" xfId="0" applyNumberFormat="1" applyAlignment="1">
      <alignment wrapText="1"/>
    </xf>
    <xf numFmtId="1" fontId="3" fillId="0" borderId="0" xfId="0" applyNumberFormat="1" applyFont="1" applyAlignment="1">
      <alignment wrapText="1"/>
    </xf>
    <xf numFmtId="1" fontId="25" fillId="4" borderId="0" xfId="0" applyNumberFormat="1" applyFont="1" applyFill="1" applyAlignment="1">
      <alignment horizontal="center"/>
    </xf>
    <xf numFmtId="1" fontId="0" fillId="4" borderId="0" xfId="0" applyNumberFormat="1" applyFill="1" applyAlignment="1">
      <alignment horizontal="center"/>
    </xf>
    <xf numFmtId="1" fontId="0" fillId="7" borderId="0" xfId="0" applyNumberFormat="1" applyFill="1" applyAlignment="1">
      <alignment horizontal="center"/>
    </xf>
    <xf numFmtId="1" fontId="0" fillId="3" borderId="0" xfId="0" applyNumberFormat="1" applyFill="1" applyAlignment="1">
      <alignment horizontal="center"/>
    </xf>
    <xf numFmtId="3" fontId="0" fillId="0" borderId="116" xfId="0" applyNumberFormat="1" applyBorder="1" applyAlignment="1">
      <alignment horizontal="center"/>
    </xf>
    <xf numFmtId="3" fontId="0" fillId="0" borderId="117" xfId="0" applyNumberFormat="1" applyBorder="1" applyAlignment="1">
      <alignment horizontal="center"/>
    </xf>
    <xf numFmtId="0" fontId="0" fillId="0" borderId="117" xfId="0" applyBorder="1" applyAlignment="1">
      <alignment horizontal="center"/>
    </xf>
    <xf numFmtId="1" fontId="0" fillId="0" borderId="117" xfId="0" applyNumberFormat="1" applyBorder="1" applyAlignment="1">
      <alignment horizontal="center"/>
    </xf>
    <xf numFmtId="0" fontId="0" fillId="0" borderId="118" xfId="0" applyBorder="1" applyAlignment="1">
      <alignment horizontal="center"/>
    </xf>
    <xf numFmtId="1" fontId="0" fillId="0" borderId="118" xfId="0" applyNumberFormat="1" applyBorder="1" applyAlignment="1">
      <alignment horizontal="center"/>
    </xf>
    <xf numFmtId="1" fontId="0" fillId="4" borderId="119" xfId="0" applyNumberFormat="1" applyFill="1" applyBorder="1" applyAlignment="1">
      <alignment horizontal="center"/>
    </xf>
    <xf numFmtId="1" fontId="0" fillId="0" borderId="120" xfId="0" applyNumberFormat="1" applyBorder="1" applyAlignment="1">
      <alignment horizontal="center"/>
    </xf>
    <xf numFmtId="1" fontId="0" fillId="4" borderId="121" xfId="0" applyNumberFormat="1" applyFill="1" applyBorder="1" applyAlignment="1">
      <alignment horizontal="center"/>
    </xf>
    <xf numFmtId="1" fontId="0" fillId="3" borderId="121" xfId="0" applyNumberFormat="1" applyFill="1" applyBorder="1" applyAlignment="1">
      <alignment horizontal="center"/>
    </xf>
    <xf numFmtId="3" fontId="0" fillId="0" borderId="120" xfId="0" applyNumberFormat="1" applyBorder="1" applyAlignment="1">
      <alignment horizontal="center"/>
    </xf>
    <xf numFmtId="0" fontId="0" fillId="4" borderId="117" xfId="0" applyFill="1" applyBorder="1" applyAlignment="1">
      <alignment/>
    </xf>
    <xf numFmtId="0" fontId="0" fillId="7" borderId="117" xfId="0" applyFill="1" applyBorder="1" applyAlignment="1">
      <alignment/>
    </xf>
    <xf numFmtId="0" fontId="0" fillId="31" borderId="117" xfId="0" applyFill="1" applyBorder="1" applyAlignment="1">
      <alignment/>
    </xf>
    <xf numFmtId="0" fontId="0" fillId="3" borderId="117" xfId="0" applyFill="1" applyBorder="1" applyAlignment="1">
      <alignment/>
    </xf>
    <xf numFmtId="0" fontId="0" fillId="3" borderId="117" xfId="0" applyFill="1" applyBorder="1" applyAlignment="1">
      <alignment horizontal="center"/>
    </xf>
    <xf numFmtId="0" fontId="3" fillId="6" borderId="122" xfId="0" applyFont="1" applyFill="1" applyBorder="1" applyAlignment="1">
      <alignment horizontal="center" wrapText="1"/>
    </xf>
    <xf numFmtId="0" fontId="3" fillId="6" borderId="121" xfId="0" applyFont="1" applyFill="1" applyBorder="1" applyAlignment="1">
      <alignment horizontal="center" wrapText="1"/>
    </xf>
    <xf numFmtId="0" fontId="0" fillId="0" borderId="38" xfId="0" applyBorder="1" applyAlignment="1">
      <alignment horizontal="center"/>
    </xf>
    <xf numFmtId="0" fontId="0" fillId="0" borderId="39" xfId="0" applyBorder="1" applyAlignment="1">
      <alignment horizontal="center"/>
    </xf>
    <xf numFmtId="1" fontId="0" fillId="4" borderId="44" xfId="0" applyNumberFormat="1" applyFill="1" applyBorder="1" applyAlignment="1">
      <alignment horizontal="center"/>
    </xf>
    <xf numFmtId="9" fontId="3" fillId="0" borderId="121" xfId="0" applyNumberFormat="1" applyFont="1" applyBorder="1" applyAlignment="1">
      <alignment horizontal="center" wrapText="1"/>
    </xf>
    <xf numFmtId="0" fontId="0" fillId="4" borderId="120" xfId="0" applyFill="1" applyBorder="1" applyAlignment="1">
      <alignment/>
    </xf>
    <xf numFmtId="1" fontId="6" fillId="0" borderId="0" xfId="0" applyNumberFormat="1" applyFont="1" applyFill="1" applyAlignment="1">
      <alignment/>
    </xf>
    <xf numFmtId="0" fontId="3" fillId="7" borderId="97" xfId="0" applyFont="1" applyFill="1" applyBorder="1" applyAlignment="1">
      <alignment horizontal="center" wrapText="1"/>
    </xf>
    <xf numFmtId="0" fontId="47" fillId="0" borderId="0" xfId="0" applyFont="1" applyFill="1" applyBorder="1" applyAlignment="1">
      <alignment horizontal="center" wrapText="1"/>
    </xf>
    <xf numFmtId="0" fontId="3" fillId="0" borderId="0" xfId="0" applyFont="1" applyAlignment="1">
      <alignment horizontal="center"/>
    </xf>
    <xf numFmtId="0" fontId="48" fillId="0" borderId="38" xfId="0" applyFont="1" applyBorder="1" applyAlignment="1">
      <alignment horizontal="left" wrapText="1"/>
    </xf>
    <xf numFmtId="0" fontId="0" fillId="0" borderId="48" xfId="0" applyBorder="1" applyAlignment="1">
      <alignment horizontal="left" wrapText="1"/>
    </xf>
    <xf numFmtId="0" fontId="3" fillId="7" borderId="123" xfId="0" applyFont="1" applyFill="1" applyBorder="1" applyAlignment="1">
      <alignment horizontal="center" wrapText="1"/>
    </xf>
    <xf numFmtId="0" fontId="3" fillId="7" borderId="124" xfId="0" applyFont="1" applyFill="1" applyBorder="1" applyAlignment="1">
      <alignment horizontal="center" wrapText="1"/>
    </xf>
    <xf numFmtId="0" fontId="74" fillId="0" borderId="0" xfId="0" applyFont="1" applyAlignment="1">
      <alignment horizontal="center"/>
    </xf>
    <xf numFmtId="0" fontId="2" fillId="0" borderId="0" xfId="0" applyFont="1" applyAlignment="1">
      <alignment horizontal="center"/>
    </xf>
    <xf numFmtId="0" fontId="0" fillId="0" borderId="62" xfId="0" applyBorder="1" applyAlignment="1">
      <alignment horizontal="left" wrapText="1"/>
    </xf>
    <xf numFmtId="0" fontId="0" fillId="0" borderId="29" xfId="0" applyBorder="1" applyAlignment="1">
      <alignment horizontal="left" wrapText="1"/>
    </xf>
    <xf numFmtId="0" fontId="0" fillId="0" borderId="49" xfId="0" applyBorder="1" applyAlignment="1">
      <alignment horizontal="left" wrapText="1"/>
    </xf>
    <xf numFmtId="0" fontId="0" fillId="0" borderId="21" xfId="0" applyBorder="1" applyAlignment="1">
      <alignment horizontal="left" wrapText="1"/>
    </xf>
    <xf numFmtId="0" fontId="0" fillId="0" borderId="0" xfId="0" applyBorder="1" applyAlignment="1">
      <alignment horizontal="left" wrapText="1"/>
    </xf>
    <xf numFmtId="0" fontId="0" fillId="0" borderId="18" xfId="0" applyBorder="1" applyAlignment="1">
      <alignment horizontal="left" wrapText="1"/>
    </xf>
    <xf numFmtId="0" fontId="0" fillId="0" borderId="63" xfId="0" applyBorder="1" applyAlignment="1">
      <alignment horizontal="left" wrapText="1"/>
    </xf>
    <xf numFmtId="0" fontId="0" fillId="0" borderId="19" xfId="0" applyBorder="1" applyAlignment="1">
      <alignment horizontal="left" wrapText="1"/>
    </xf>
    <xf numFmtId="0" fontId="0" fillId="0" borderId="39" xfId="0" applyBorder="1" applyAlignment="1">
      <alignment horizontal="left"/>
    </xf>
    <xf numFmtId="0" fontId="3" fillId="0" borderId="0" xfId="0" applyFont="1"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40" xfId="0" applyBorder="1" applyAlignment="1">
      <alignment horizontal="left"/>
    </xf>
    <xf numFmtId="0" fontId="3" fillId="0" borderId="86" xfId="0" applyFont="1" applyBorder="1" applyAlignment="1">
      <alignment horizontal="left" wrapText="1"/>
    </xf>
    <xf numFmtId="0" fontId="3" fillId="0" borderId="52" xfId="0" applyFont="1" applyBorder="1" applyAlignment="1">
      <alignment horizontal="left" wrapText="1"/>
    </xf>
    <xf numFmtId="0" fontId="3" fillId="0" borderId="42" xfId="0" applyFont="1" applyBorder="1" applyAlignment="1">
      <alignment horizontal="left" wrapText="1"/>
    </xf>
    <xf numFmtId="0" fontId="3" fillId="0" borderId="46" xfId="0" applyFont="1" applyBorder="1" applyAlignment="1">
      <alignment horizontal="left" wrapText="1"/>
    </xf>
    <xf numFmtId="0" fontId="3" fillId="0" borderId="43" xfId="0" applyFont="1" applyBorder="1" applyAlignment="1">
      <alignment horizontal="left" wrapText="1"/>
    </xf>
    <xf numFmtId="0" fontId="3" fillId="0" borderId="81" xfId="0" applyFont="1" applyBorder="1" applyAlignment="1">
      <alignment horizontal="left" wrapText="1"/>
    </xf>
    <xf numFmtId="0" fontId="3" fillId="0" borderId="34" xfId="0" applyFont="1" applyBorder="1" applyAlignment="1">
      <alignment horizontal="left" wrapText="1"/>
    </xf>
    <xf numFmtId="0" fontId="3" fillId="0" borderId="125" xfId="0" applyFont="1" applyBorder="1" applyAlignment="1">
      <alignment horizontal="left" wrapText="1"/>
    </xf>
    <xf numFmtId="4" fontId="56" fillId="0" borderId="0" xfId="0" applyNumberFormat="1" applyFont="1" applyBorder="1" applyAlignment="1">
      <alignment horizontal="left" wrapText="1"/>
    </xf>
    <xf numFmtId="0" fontId="60" fillId="0" borderId="21" xfId="0" applyFont="1"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0" fontId="0" fillId="0" borderId="0" xfId="0" applyFill="1" applyAlignment="1">
      <alignment horizontal="left" vertical="center" wrapText="1"/>
    </xf>
    <xf numFmtId="0" fontId="3" fillId="0" borderId="0" xfId="0" applyFont="1" applyFill="1" applyBorder="1" applyAlignment="1">
      <alignment horizontal="center" wrapText="1"/>
    </xf>
    <xf numFmtId="0" fontId="0" fillId="0" borderId="0" xfId="0" applyFill="1" applyAlignment="1">
      <alignment horizontal="center"/>
    </xf>
    <xf numFmtId="0" fontId="6" fillId="0" borderId="0" xfId="0" applyFont="1" applyFill="1" applyAlignment="1">
      <alignment horizontal="left" vertical="center" wrapText="1"/>
    </xf>
    <xf numFmtId="0" fontId="2" fillId="0" borderId="0" xfId="0" applyFont="1" applyAlignment="1">
      <alignment horizontal="left" wrapText="1"/>
    </xf>
    <xf numFmtId="0" fontId="48" fillId="0" borderId="28" xfId="0" applyFont="1" applyBorder="1" applyAlignment="1">
      <alignment horizontal="left" wrapText="1"/>
    </xf>
    <xf numFmtId="0" fontId="0" fillId="0" borderId="20" xfId="0" applyBorder="1" applyAlignment="1">
      <alignment horizontal="left"/>
    </xf>
    <xf numFmtId="0" fontId="0" fillId="0" borderId="47" xfId="0" applyBorder="1" applyAlignment="1">
      <alignment horizontal="left"/>
    </xf>
    <xf numFmtId="0" fontId="3" fillId="0" borderId="62" xfId="0" applyFont="1" applyBorder="1" applyAlignment="1">
      <alignment horizontal="left" wrapText="1"/>
    </xf>
    <xf numFmtId="0" fontId="3" fillId="0" borderId="29" xfId="0" applyFont="1" applyBorder="1" applyAlignment="1">
      <alignment horizontal="left" wrapText="1"/>
    </xf>
    <xf numFmtId="0" fontId="3" fillId="0" borderId="49" xfId="0" applyFont="1" applyBorder="1" applyAlignment="1">
      <alignment horizontal="left" wrapText="1"/>
    </xf>
    <xf numFmtId="0" fontId="3" fillId="0" borderId="21" xfId="0" applyFont="1" applyBorder="1" applyAlignment="1">
      <alignment horizontal="left" wrapText="1"/>
    </xf>
    <xf numFmtId="0" fontId="3" fillId="0" borderId="18" xfId="0" applyFont="1" applyBorder="1" applyAlignment="1">
      <alignment horizontal="left" wrapText="1"/>
    </xf>
    <xf numFmtId="0" fontId="3" fillId="0" borderId="63" xfId="0" applyFont="1" applyBorder="1" applyAlignment="1">
      <alignment horizontal="left" wrapText="1"/>
    </xf>
    <xf numFmtId="0" fontId="3" fillId="0" borderId="19" xfId="0" applyFont="1" applyBorder="1" applyAlignment="1">
      <alignment horizontal="left" wrapText="1"/>
    </xf>
    <xf numFmtId="0" fontId="3" fillId="0" borderId="48" xfId="0" applyFont="1" applyBorder="1" applyAlignment="1">
      <alignment horizontal="left" wrapText="1"/>
    </xf>
    <xf numFmtId="0" fontId="0" fillId="0" borderId="0" xfId="0" applyAlignment="1">
      <alignment horizontal="center" wrapText="1"/>
    </xf>
    <xf numFmtId="0" fontId="0" fillId="0" borderId="0" xfId="0" applyAlignment="1">
      <alignment horizontal="center"/>
    </xf>
    <xf numFmtId="0" fontId="8" fillId="0" borderId="0" xfId="0" applyFont="1" applyAlignment="1">
      <alignment horizontal="center" wrapText="1"/>
    </xf>
    <xf numFmtId="0" fontId="0" fillId="0" borderId="30" xfId="0" applyBorder="1" applyAlignment="1">
      <alignment horizontal="left" wrapText="1"/>
    </xf>
    <xf numFmtId="0" fontId="0" fillId="0" borderId="22" xfId="0" applyBorder="1" applyAlignment="1">
      <alignment horizontal="left" wrapText="1"/>
    </xf>
    <xf numFmtId="0" fontId="0" fillId="0" borderId="33" xfId="0" applyBorder="1" applyAlignment="1">
      <alignment horizontal="left" wrapText="1"/>
    </xf>
    <xf numFmtId="9" fontId="3" fillId="0" borderId="126" xfId="0" applyNumberFormat="1" applyFont="1" applyBorder="1" applyAlignment="1">
      <alignment horizontal="center" wrapText="1"/>
    </xf>
    <xf numFmtId="9" fontId="3" fillId="0" borderId="127" xfId="0" applyNumberFormat="1" applyFont="1" applyBorder="1" applyAlignment="1">
      <alignment horizontal="center" wrapText="1"/>
    </xf>
    <xf numFmtId="9" fontId="3" fillId="0" borderId="114" xfId="0" applyNumberFormat="1" applyFont="1" applyBorder="1" applyAlignment="1">
      <alignment horizontal="center" wrapText="1"/>
    </xf>
    <xf numFmtId="0" fontId="3" fillId="6" borderId="126" xfId="0" applyFont="1" applyFill="1" applyBorder="1" applyAlignment="1">
      <alignment horizontal="center" wrapText="1"/>
    </xf>
    <xf numFmtId="0" fontId="3" fillId="6" borderId="114" xfId="0" applyFont="1" applyFill="1" applyBorder="1" applyAlignment="1">
      <alignment horizontal="center" wrapText="1"/>
    </xf>
    <xf numFmtId="0" fontId="3" fillId="0" borderId="126" xfId="0" applyFont="1" applyBorder="1" applyAlignment="1">
      <alignment horizontal="center" wrapText="1"/>
    </xf>
    <xf numFmtId="0" fontId="3" fillId="0" borderId="114" xfId="0" applyFont="1" applyBorder="1" applyAlignment="1">
      <alignment horizontal="center" wrapText="1"/>
    </xf>
    <xf numFmtId="0" fontId="3" fillId="6" borderId="126" xfId="0" applyFont="1" applyFill="1" applyBorder="1" applyAlignment="1">
      <alignment wrapText="1"/>
    </xf>
    <xf numFmtId="0" fontId="3" fillId="6" borderId="114" xfId="0" applyFont="1" applyFill="1" applyBorder="1" applyAlignment="1">
      <alignment wrapText="1"/>
    </xf>
    <xf numFmtId="0" fontId="3" fillId="0" borderId="127" xfId="0" applyFont="1" applyBorder="1" applyAlignment="1">
      <alignment horizontal="center" wrapText="1"/>
    </xf>
    <xf numFmtId="0" fontId="69" fillId="0" borderId="41" xfId="58" applyFont="1" applyBorder="1" applyAlignment="1">
      <alignment vertical="center"/>
      <protection/>
    </xf>
    <xf numFmtId="0" fontId="69" fillId="0" borderId="41" xfId="58" applyFont="1" applyFill="1" applyBorder="1" applyAlignment="1">
      <alignment vertical="center" wrapText="1"/>
      <protection/>
    </xf>
    <xf numFmtId="0" fontId="69" fillId="0" borderId="41" xfId="58" applyFont="1" applyFill="1" applyBorder="1" applyAlignment="1">
      <alignment vertical="center"/>
      <protection/>
    </xf>
    <xf numFmtId="0" fontId="69" fillId="0" borderId="41" xfId="58" applyFont="1" applyBorder="1" applyAlignment="1">
      <alignment vertical="center" wrapText="1"/>
      <protection/>
    </xf>
    <xf numFmtId="0" fontId="6" fillId="0" borderId="41" xfId="58" applyBorder="1" applyAlignment="1">
      <alignment vertical="center"/>
      <protection/>
    </xf>
    <xf numFmtId="1" fontId="6" fillId="0" borderId="41" xfId="58" applyNumberFormat="1" applyFill="1" applyBorder="1" applyAlignment="1">
      <alignment vertical="center"/>
      <protection/>
    </xf>
    <xf numFmtId="2" fontId="6" fillId="0" borderId="41" xfId="58" applyNumberFormat="1" applyBorder="1" applyAlignment="1">
      <alignment vertical="center"/>
      <protection/>
    </xf>
    <xf numFmtId="0" fontId="16" fillId="0" borderId="41" xfId="58" applyFont="1" applyBorder="1" applyAlignment="1">
      <alignment vertical="center"/>
      <protection/>
    </xf>
    <xf numFmtId="1" fontId="16" fillId="0" borderId="41" xfId="58" applyNumberFormat="1" applyFont="1" applyFill="1" applyBorder="1" applyAlignment="1">
      <alignment vertical="center"/>
      <protection/>
    </xf>
    <xf numFmtId="2" fontId="16" fillId="0" borderId="41" xfId="58" applyNumberFormat="1" applyFont="1" applyBorder="1" applyAlignment="1">
      <alignment vertical="center"/>
      <protection/>
    </xf>
    <xf numFmtId="0" fontId="6" fillId="0" borderId="41" xfId="58" applyBorder="1" applyAlignment="1">
      <alignment vertical="center" wrapText="1"/>
      <protection/>
    </xf>
    <xf numFmtId="0" fontId="69" fillId="0" borderId="38" xfId="58" applyFont="1" applyBorder="1" applyAlignment="1">
      <alignment vertical="center"/>
      <protection/>
    </xf>
    <xf numFmtId="0" fontId="69" fillId="0" borderId="40" xfId="58" applyFont="1" applyBorder="1" applyAlignment="1">
      <alignment vertical="center"/>
      <protection/>
    </xf>
    <xf numFmtId="1" fontId="69" fillId="0" borderId="38" xfId="58" applyNumberFormat="1" applyFont="1" applyFill="1" applyBorder="1" applyAlignment="1">
      <alignment vertical="center" wrapText="1"/>
      <protection/>
    </xf>
    <xf numFmtId="1" fontId="69" fillId="0" borderId="40" xfId="58" applyNumberFormat="1" applyFont="1" applyFill="1" applyBorder="1" applyAlignment="1">
      <alignment vertical="center"/>
      <protection/>
    </xf>
    <xf numFmtId="0" fontId="69" fillId="0" borderId="38" xfId="58" applyFont="1" applyFill="1" applyBorder="1" applyAlignment="1">
      <alignment vertical="center" wrapText="1"/>
      <protection/>
    </xf>
    <xf numFmtId="0" fontId="69" fillId="0" borderId="40" xfId="58" applyFont="1" applyFill="1" applyBorder="1" applyAlignment="1">
      <alignment vertical="center"/>
      <protection/>
    </xf>
    <xf numFmtId="0" fontId="69" fillId="0" borderId="38" xfId="58" applyFont="1" applyBorder="1" applyAlignment="1">
      <alignment vertical="center" wrapText="1"/>
      <protection/>
    </xf>
    <xf numFmtId="0" fontId="6" fillId="0" borderId="38" xfId="58" applyBorder="1" applyAlignment="1">
      <alignment vertical="center"/>
      <protection/>
    </xf>
    <xf numFmtId="0" fontId="6" fillId="0" borderId="40" xfId="58" applyBorder="1" applyAlignment="1">
      <alignment vertical="center"/>
      <protection/>
    </xf>
    <xf numFmtId="1" fontId="6" fillId="0" borderId="38" xfId="58" applyNumberFormat="1" applyFill="1" applyBorder="1" applyAlignment="1">
      <alignment vertical="center"/>
      <protection/>
    </xf>
    <xf numFmtId="1" fontId="6" fillId="0" borderId="40" xfId="58" applyNumberFormat="1" applyFill="1" applyBorder="1" applyAlignment="1">
      <alignment vertical="center"/>
      <protection/>
    </xf>
    <xf numFmtId="0" fontId="6" fillId="0" borderId="38" xfId="58" applyFill="1" applyBorder="1" applyAlignment="1">
      <alignment vertical="center"/>
      <protection/>
    </xf>
    <xf numFmtId="0" fontId="6" fillId="0" borderId="40" xfId="58" applyFill="1" applyBorder="1" applyAlignment="1">
      <alignment vertical="center"/>
      <protection/>
    </xf>
    <xf numFmtId="2" fontId="6" fillId="0" borderId="38" xfId="58" applyNumberFormat="1" applyBorder="1" applyAlignment="1">
      <alignment vertical="center"/>
      <protection/>
    </xf>
    <xf numFmtId="2" fontId="6" fillId="0" borderId="40" xfId="58" applyNumberFormat="1" applyBorder="1" applyAlignment="1">
      <alignment vertical="center"/>
      <protection/>
    </xf>
    <xf numFmtId="0" fontId="6" fillId="0" borderId="41" xfId="58" applyBorder="1" applyAlignment="1">
      <alignment horizontal="center"/>
      <protection/>
    </xf>
    <xf numFmtId="2" fontId="6" fillId="0" borderId="38" xfId="58" applyNumberFormat="1" applyFill="1" applyBorder="1" applyAlignment="1">
      <alignment vertical="center"/>
      <protection/>
    </xf>
    <xf numFmtId="2" fontId="6" fillId="0" borderId="40" xfId="58" applyNumberFormat="1" applyFill="1" applyBorder="1" applyAlignment="1">
      <alignment vertical="center"/>
      <protection/>
    </xf>
    <xf numFmtId="0" fontId="6" fillId="9" borderId="128" xfId="58" applyFill="1" applyBorder="1" applyAlignment="1">
      <alignment horizontal="left" wrapText="1"/>
      <protection/>
    </xf>
    <xf numFmtId="0" fontId="6" fillId="9" borderId="129" xfId="58" applyFill="1" applyBorder="1" applyAlignment="1">
      <alignment horizontal="left" wrapText="1"/>
      <protection/>
    </xf>
    <xf numFmtId="0" fontId="6" fillId="9" borderId="130" xfId="58" applyFill="1" applyBorder="1" applyAlignment="1">
      <alignment horizontal="left" wrapText="1"/>
      <protection/>
    </xf>
    <xf numFmtId="0" fontId="6" fillId="9" borderId="128" xfId="58" applyFill="1" applyBorder="1" applyAlignment="1">
      <alignment horizontal="left"/>
      <protection/>
    </xf>
    <xf numFmtId="0" fontId="6" fillId="9" borderId="129" xfId="58" applyFill="1" applyBorder="1" applyAlignment="1">
      <alignment horizontal="left"/>
      <protection/>
    </xf>
    <xf numFmtId="0" fontId="6" fillId="9" borderId="130" xfId="58" applyFill="1" applyBorder="1" applyAlignment="1">
      <alignment horizontal="left"/>
      <protection/>
    </xf>
    <xf numFmtId="1" fontId="6" fillId="0" borderId="41" xfId="58" applyNumberFormat="1" applyBorder="1" applyAlignment="1">
      <alignment horizontal="center"/>
      <protection/>
    </xf>
    <xf numFmtId="1" fontId="6" fillId="0" borderId="38" xfId="59" applyNumberFormat="1" applyFill="1" applyBorder="1" applyAlignment="1">
      <alignment horizontal="center" vertical="center"/>
      <protection/>
    </xf>
    <xf numFmtId="1" fontId="6" fillId="0" borderId="40" xfId="59" applyNumberFormat="1" applyFill="1" applyBorder="1" applyAlignment="1">
      <alignment horizontal="center" vertical="center"/>
      <protection/>
    </xf>
    <xf numFmtId="3" fontId="7" fillId="4" borderId="46" xfId="59" applyNumberFormat="1" applyFont="1" applyFill="1" applyBorder="1" applyAlignment="1">
      <alignment horizontal="center"/>
      <protection/>
    </xf>
    <xf numFmtId="0" fontId="6" fillId="0" borderId="42" xfId="59" applyBorder="1" applyAlignment="1">
      <alignment horizontal="center"/>
      <protection/>
    </xf>
    <xf numFmtId="0" fontId="6" fillId="0" borderId="125" xfId="59" applyBorder="1" applyAlignment="1">
      <alignment horizontal="center"/>
      <protection/>
    </xf>
    <xf numFmtId="2" fontId="6" fillId="0" borderId="38" xfId="59" applyNumberFormat="1" applyFill="1" applyBorder="1" applyAlignment="1">
      <alignment horizontal="center" vertical="center"/>
      <protection/>
    </xf>
    <xf numFmtId="2" fontId="6" fillId="0" borderId="40" xfId="59" applyNumberFormat="1" applyFill="1" applyBorder="1" applyAlignment="1">
      <alignment horizontal="center" vertical="center"/>
      <protection/>
    </xf>
    <xf numFmtId="0" fontId="69" fillId="0" borderId="38" xfId="59" applyFont="1" applyFill="1" applyBorder="1" applyAlignment="1">
      <alignment horizontal="center" vertical="center" wrapText="1"/>
      <protection/>
    </xf>
    <xf numFmtId="0" fontId="69" fillId="0" borderId="40" xfId="59" applyFont="1" applyFill="1" applyBorder="1" applyAlignment="1">
      <alignment horizontal="center" vertical="center"/>
      <protection/>
    </xf>
    <xf numFmtId="1" fontId="6" fillId="0" borderId="38" xfId="59" applyNumberFormat="1" applyFill="1" applyBorder="1" applyAlignment="1">
      <alignment horizontal="center" vertical="center" wrapText="1" shrinkToFit="1"/>
      <protection/>
    </xf>
    <xf numFmtId="1" fontId="6" fillId="0" borderId="40" xfId="59" applyNumberFormat="1" applyFill="1" applyBorder="1" applyAlignment="1">
      <alignment horizontal="center" vertical="center" wrapText="1" shrinkToFit="1"/>
      <protection/>
    </xf>
    <xf numFmtId="1" fontId="71" fillId="0" borderId="38" xfId="59" applyNumberFormat="1" applyFont="1" applyFill="1" applyBorder="1" applyAlignment="1">
      <alignment horizontal="center" vertical="center" wrapText="1" shrinkToFit="1"/>
      <protection/>
    </xf>
    <xf numFmtId="1" fontId="71" fillId="0" borderId="40" xfId="59" applyNumberFormat="1" applyFont="1" applyFill="1" applyBorder="1" applyAlignment="1">
      <alignment horizontal="center" vertical="center" wrapText="1" shrinkToFit="1"/>
      <protection/>
    </xf>
    <xf numFmtId="164" fontId="6" fillId="0" borderId="38" xfId="59" applyNumberFormat="1" applyFill="1" applyBorder="1" applyAlignment="1">
      <alignment horizontal="center" vertical="center"/>
      <protection/>
    </xf>
    <xf numFmtId="164" fontId="6" fillId="0" borderId="40" xfId="59" applyNumberFormat="1" applyFill="1" applyBorder="1" applyAlignment="1">
      <alignment horizontal="center" vertical="center"/>
      <protection/>
    </xf>
    <xf numFmtId="164" fontId="71" fillId="0" borderId="38" xfId="59" applyNumberFormat="1" applyFont="1" applyFill="1" applyBorder="1" applyAlignment="1">
      <alignment horizontal="center" vertical="center"/>
      <protection/>
    </xf>
    <xf numFmtId="164" fontId="71" fillId="0" borderId="40" xfId="59" applyNumberFormat="1" applyFont="1" applyFill="1" applyBorder="1" applyAlignment="1">
      <alignment horizontal="center" vertical="center"/>
      <protection/>
    </xf>
    <xf numFmtId="1" fontId="4" fillId="0" borderId="38" xfId="59" applyNumberFormat="1" applyFont="1" applyFill="1" applyBorder="1" applyAlignment="1">
      <alignment horizontal="center" vertical="center"/>
      <protection/>
    </xf>
    <xf numFmtId="1" fontId="4" fillId="0" borderId="40" xfId="59" applyNumberFormat="1" applyFont="1" applyFill="1" applyBorder="1" applyAlignment="1">
      <alignment horizontal="center" vertical="center"/>
      <protection/>
    </xf>
    <xf numFmtId="1" fontId="71" fillId="0" borderId="38" xfId="59" applyNumberFormat="1" applyFont="1" applyFill="1" applyBorder="1" applyAlignment="1">
      <alignment horizontal="center" vertical="center"/>
      <protection/>
    </xf>
    <xf numFmtId="1" fontId="71" fillId="0" borderId="40" xfId="59" applyNumberFormat="1" applyFont="1" applyFill="1" applyBorder="1" applyAlignment="1">
      <alignment horizontal="center" vertical="center"/>
      <protection/>
    </xf>
    <xf numFmtId="0" fontId="6" fillId="0" borderId="38" xfId="59" applyBorder="1" applyAlignment="1">
      <alignment horizontal="center" vertical="center"/>
      <protection/>
    </xf>
    <xf numFmtId="0" fontId="6" fillId="0" borderId="40" xfId="59" applyBorder="1" applyAlignment="1">
      <alignment horizontal="center" vertical="center"/>
      <protection/>
    </xf>
    <xf numFmtId="0" fontId="6" fillId="0" borderId="38" xfId="59" applyFill="1" applyBorder="1" applyAlignment="1">
      <alignment horizontal="center" vertical="center"/>
      <protection/>
    </xf>
    <xf numFmtId="0" fontId="6" fillId="0" borderId="40" xfId="59" applyFill="1" applyBorder="1" applyAlignment="1">
      <alignment horizontal="center" vertical="center"/>
      <protection/>
    </xf>
    <xf numFmtId="0" fontId="69" fillId="0" borderId="38" xfId="59" applyFont="1" applyBorder="1" applyAlignment="1">
      <alignment horizontal="center" vertical="center"/>
      <protection/>
    </xf>
    <xf numFmtId="0" fontId="69" fillId="0" borderId="40" xfId="59" applyFont="1" applyBorder="1" applyAlignment="1">
      <alignment horizontal="center" vertical="center"/>
      <protection/>
    </xf>
    <xf numFmtId="0" fontId="70" fillId="0" borderId="38" xfId="59" applyFont="1" applyBorder="1" applyAlignment="1">
      <alignment horizontal="center" vertical="center" wrapText="1"/>
      <protection/>
    </xf>
    <xf numFmtId="0" fontId="70" fillId="0" borderId="40" xfId="59" applyFont="1" applyBorder="1" applyAlignment="1">
      <alignment horizontal="center" vertical="center"/>
      <protection/>
    </xf>
    <xf numFmtId="0" fontId="73" fillId="0" borderId="38" xfId="59" applyFont="1" applyFill="1" applyBorder="1" applyAlignment="1">
      <alignment horizontal="center" vertical="center" wrapText="1"/>
      <protection/>
    </xf>
    <xf numFmtId="0" fontId="73" fillId="0" borderId="40" xfId="59" applyFont="1" applyFill="1" applyBorder="1" applyAlignment="1">
      <alignment horizontal="center" vertical="center" wrapText="1"/>
      <protection/>
    </xf>
    <xf numFmtId="0" fontId="6" fillId="0" borderId="38" xfId="59" applyBorder="1" applyAlignment="1">
      <alignment horizontal="center" vertical="center" wrapText="1"/>
      <protection/>
    </xf>
    <xf numFmtId="0" fontId="71" fillId="0" borderId="38" xfId="59" applyFont="1" applyBorder="1" applyAlignment="1">
      <alignment horizontal="center" vertical="center"/>
      <protection/>
    </xf>
    <xf numFmtId="0" fontId="71" fillId="0" borderId="40" xfId="59" applyFont="1" applyBorder="1" applyAlignment="1">
      <alignment horizontal="center" vertical="center"/>
      <protection/>
    </xf>
    <xf numFmtId="0" fontId="73" fillId="0" borderId="38" xfId="59" applyFont="1" applyBorder="1" applyAlignment="1">
      <alignment horizontal="center" vertical="center" wrapText="1"/>
      <protection/>
    </xf>
    <xf numFmtId="0" fontId="73" fillId="0" borderId="40" xfId="59" applyFont="1" applyBorder="1" applyAlignment="1">
      <alignment horizontal="center" vertical="center"/>
      <protection/>
    </xf>
    <xf numFmtId="2" fontId="4" fillId="0" borderId="38" xfId="59" applyNumberFormat="1" applyFont="1" applyBorder="1" applyAlignment="1">
      <alignment horizontal="center" vertical="center"/>
      <protection/>
    </xf>
    <xf numFmtId="2" fontId="4" fillId="0" borderId="40" xfId="59" applyNumberFormat="1" applyFont="1" applyBorder="1" applyAlignment="1">
      <alignment horizontal="center" vertical="center"/>
      <protection/>
    </xf>
    <xf numFmtId="0" fontId="69" fillId="0" borderId="38" xfId="59" applyFont="1" applyBorder="1" applyAlignment="1">
      <alignment horizontal="center" vertical="center" wrapText="1"/>
      <protection/>
    </xf>
    <xf numFmtId="3" fontId="6" fillId="0" borderId="38" xfId="59" applyNumberFormat="1" applyFill="1" applyBorder="1" applyAlignment="1">
      <alignment horizontal="center"/>
      <protection/>
    </xf>
    <xf numFmtId="3" fontId="6" fillId="0" borderId="39" xfId="59" applyNumberFormat="1" applyFill="1" applyBorder="1" applyAlignment="1">
      <alignment horizontal="center"/>
      <protection/>
    </xf>
    <xf numFmtId="3" fontId="71" fillId="0" borderId="39" xfId="59" applyNumberFormat="1" applyFont="1" applyFill="1" applyBorder="1" applyAlignment="1">
      <alignment horizontal="center"/>
      <protection/>
    </xf>
    <xf numFmtId="3" fontId="6" fillId="0" borderId="40" xfId="59" applyNumberFormat="1" applyFill="1" applyBorder="1" applyAlignment="1">
      <alignment horizontal="center"/>
      <protection/>
    </xf>
    <xf numFmtId="3" fontId="69" fillId="4" borderId="38" xfId="59" applyNumberFormat="1" applyFont="1" applyFill="1" applyBorder="1" applyAlignment="1">
      <alignment horizontal="center" vertical="center" wrapText="1"/>
      <protection/>
    </xf>
    <xf numFmtId="3" fontId="69" fillId="4" borderId="40" xfId="59" applyNumberFormat="1" applyFont="1" applyFill="1" applyBorder="1" applyAlignment="1">
      <alignment horizontal="center" vertical="center"/>
      <protection/>
    </xf>
    <xf numFmtId="0" fontId="7" fillId="0" borderId="43" xfId="59" applyFont="1" applyBorder="1" applyAlignment="1">
      <alignment horizontal="center" wrapText="1"/>
      <protection/>
    </xf>
    <xf numFmtId="0" fontId="7" fillId="0" borderId="125" xfId="59" applyFont="1" applyBorder="1" applyAlignment="1">
      <alignment horizontal="center" wrapText="1"/>
      <protection/>
    </xf>
    <xf numFmtId="0" fontId="71" fillId="0" borderId="42" xfId="59" applyFont="1" applyBorder="1" applyAlignment="1">
      <alignment horizontal="center"/>
      <protection/>
    </xf>
    <xf numFmtId="0" fontId="71" fillId="0" borderId="125" xfId="59" applyFont="1" applyBorder="1" applyAlignment="1">
      <alignment horizontal="center"/>
      <protection/>
    </xf>
    <xf numFmtId="164" fontId="6" fillId="7" borderId="38" xfId="59" applyNumberFormat="1" applyFill="1" applyBorder="1" applyAlignment="1">
      <alignment horizontal="center" vertical="center"/>
      <protection/>
    </xf>
    <xf numFmtId="164" fontId="6" fillId="7" borderId="40" xfId="59" applyNumberForma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E data and job creation" xfId="58"/>
    <cellStyle name="Normal_Job Creation" xfId="59"/>
    <cellStyle name="Note" xfId="60"/>
    <cellStyle name="Output" xfId="61"/>
    <cellStyle name="Percent" xfId="62"/>
    <cellStyle name="Title" xfId="63"/>
    <cellStyle name="Total" xfId="64"/>
    <cellStyle name="Warning Text" xfId="65"/>
  </cellStyles>
  <dxfs count="3">
    <dxf>
      <font>
        <color auto="1"/>
      </font>
      <fill>
        <patternFill patternType="solid">
          <bgColor rgb="FF00FF00"/>
        </patternFill>
      </fill>
      <border/>
    </dxf>
    <dxf>
      <fill>
        <patternFill>
          <bgColor rgb="FFFF0000"/>
        </patternFill>
      </fill>
      <border/>
    </dxf>
    <dxf>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835"/>
          <c:y val="0.01625"/>
          <c:w val="0.70375"/>
          <c:h val="0.90725"/>
        </c:manualLayout>
      </c:layout>
      <c:lineChart>
        <c:grouping val="standard"/>
        <c:varyColors val="0"/>
        <c:ser>
          <c:idx val="0"/>
          <c:order val="0"/>
          <c:tx>
            <c:v>Jersey's emissions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'Summary Data'!$D$5:$Y$5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Data'!$D$90:$W$90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v>An 80% reduction on 1990 emission's levels</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'Summary Data'!$D$5:$Y$5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Data'!$D$91:$W$91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axId val="33294095"/>
        <c:axId val="31211400"/>
      </c:lineChart>
      <c:catAx>
        <c:axId val="33294095"/>
        <c:scaling>
          <c:orientation val="minMax"/>
        </c:scaling>
        <c:axPos val="b"/>
        <c:title>
          <c:tx>
            <c:rich>
              <a:bodyPr vert="horz" rot="0" anchor="ctr"/>
              <a:lstStyle/>
              <a:p>
                <a:pPr algn="ctr">
                  <a:defRPr/>
                </a:pPr>
                <a:r>
                  <a:rPr lang="en-US" cap="none" sz="14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1211400"/>
        <c:crosses val="autoZero"/>
        <c:auto val="1"/>
        <c:lblOffset val="100"/>
        <c:noMultiLvlLbl val="0"/>
      </c:catAx>
      <c:valAx>
        <c:axId val="31211400"/>
        <c:scaling>
          <c:orientation val="minMax"/>
        </c:scaling>
        <c:axPos val="l"/>
        <c:title>
          <c:tx>
            <c:rich>
              <a:bodyPr vert="horz" rot="-5400000" anchor="ctr"/>
              <a:lstStyle/>
              <a:p>
                <a:pPr algn="ctr">
                  <a:defRPr/>
                </a:pPr>
                <a:r>
                  <a:rPr lang="en-US" cap="none" sz="1400" b="1" i="0" u="none" baseline="0">
                    <a:latin typeface="Arial"/>
                    <a:ea typeface="Arial"/>
                    <a:cs typeface="Arial"/>
                  </a:rPr>
                  <a:t>Tonnes CO2 eq.</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3294095"/>
        <c:crossesAt val="1"/>
        <c:crossBetween val="between"/>
        <c:dispUnits/>
      </c:valAx>
      <c:spPr>
        <a:noFill/>
        <a:ln w="12700">
          <a:solidFill>
            <a:srgbClr val="808080"/>
          </a:solidFill>
        </a:ln>
      </c:spPr>
    </c:plotArea>
    <c:legend>
      <c:legendPos val="r"/>
      <c:layout>
        <c:manualLayout>
          <c:xMode val="edge"/>
          <c:yMode val="edge"/>
          <c:x val="0.815"/>
          <c:y val="0.215"/>
          <c:w val="0.175"/>
          <c:h val="0.454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2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
          <c:y val="0.02375"/>
          <c:w val="0.6755"/>
          <c:h val="0.88425"/>
        </c:manualLayout>
      </c:layout>
      <c:lineChart>
        <c:grouping val="standard"/>
        <c:varyColors val="0"/>
        <c:ser>
          <c:idx val="0"/>
          <c:order val="0"/>
          <c:tx>
            <c:v>Emissions based on a Business as usual scenario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numRef>
              <c:f>Aviation!$C$42:$G$42</c:f>
              <c:numCache>
                <c:ptCount val="5"/>
                <c:pt idx="0">
                  <c:v>0</c:v>
                </c:pt>
                <c:pt idx="1">
                  <c:v>0</c:v>
                </c:pt>
                <c:pt idx="2">
                  <c:v>0</c:v>
                </c:pt>
                <c:pt idx="3">
                  <c:v>0</c:v>
                </c:pt>
                <c:pt idx="4">
                  <c:v>0</c:v>
                </c:pt>
              </c:numCache>
            </c:numRef>
          </c:cat>
          <c:val>
            <c:numRef>
              <c:f>Aviation!$C$43:$G$43</c:f>
              <c:numCache>
                <c:ptCount val="5"/>
                <c:pt idx="0">
                  <c:v>0</c:v>
                </c:pt>
                <c:pt idx="1">
                  <c:v>0</c:v>
                </c:pt>
                <c:pt idx="2">
                  <c:v>0</c:v>
                </c:pt>
                <c:pt idx="3">
                  <c:v>0</c:v>
                </c:pt>
                <c:pt idx="4">
                  <c:v>0</c:v>
                </c:pt>
              </c:numCache>
            </c:numRef>
          </c:val>
          <c:smooth val="0"/>
        </c:ser>
        <c:ser>
          <c:idx val="1"/>
          <c:order val="1"/>
          <c:tx>
            <c:v>Emissions remaining after interventions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numRef>
              <c:f>Aviation!$C$42:$G$42</c:f>
              <c:numCache>
                <c:ptCount val="5"/>
                <c:pt idx="0">
                  <c:v>0</c:v>
                </c:pt>
                <c:pt idx="1">
                  <c:v>0</c:v>
                </c:pt>
                <c:pt idx="2">
                  <c:v>0</c:v>
                </c:pt>
                <c:pt idx="3">
                  <c:v>0</c:v>
                </c:pt>
                <c:pt idx="4">
                  <c:v>0</c:v>
                </c:pt>
              </c:numCache>
            </c:numRef>
          </c:cat>
          <c:val>
            <c:numRef>
              <c:f>Aviation!$C$45:$G$45</c:f>
              <c:numCache>
                <c:ptCount val="5"/>
                <c:pt idx="0">
                  <c:v>0</c:v>
                </c:pt>
                <c:pt idx="1">
                  <c:v>0</c:v>
                </c:pt>
                <c:pt idx="2">
                  <c:v>0</c:v>
                </c:pt>
                <c:pt idx="3">
                  <c:v>0</c:v>
                </c:pt>
                <c:pt idx="4">
                  <c:v>0</c:v>
                </c:pt>
              </c:numCache>
            </c:numRef>
          </c:val>
          <c:smooth val="0"/>
        </c:ser>
        <c:ser>
          <c:idx val="2"/>
          <c:order val="2"/>
          <c:tx>
            <c:v>2050 Kyoto target level of emissions</c:v>
          </c:tx>
          <c:spPr>
            <a:ln w="254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6600"/>
              </a:solidFill>
              <a:ln>
                <a:solidFill>
                  <a:srgbClr val="FF6600"/>
                </a:solidFill>
              </a:ln>
            </c:spPr>
          </c:marker>
          <c:cat>
            <c:numRef>
              <c:f>Aviation!$C$42:$G$42</c:f>
              <c:numCache>
                <c:ptCount val="5"/>
                <c:pt idx="0">
                  <c:v>0</c:v>
                </c:pt>
                <c:pt idx="1">
                  <c:v>0</c:v>
                </c:pt>
                <c:pt idx="2">
                  <c:v>0</c:v>
                </c:pt>
                <c:pt idx="3">
                  <c:v>0</c:v>
                </c:pt>
                <c:pt idx="4">
                  <c:v>0</c:v>
                </c:pt>
              </c:numCache>
            </c:numRef>
          </c:cat>
          <c:val>
            <c:numRef>
              <c:f>Aviation!$H$43:$H$47</c:f>
              <c:numCache>
                <c:ptCount val="5"/>
                <c:pt idx="0">
                  <c:v>0</c:v>
                </c:pt>
                <c:pt idx="1">
                  <c:v>0</c:v>
                </c:pt>
                <c:pt idx="2">
                  <c:v>0</c:v>
                </c:pt>
                <c:pt idx="3">
                  <c:v>0</c:v>
                </c:pt>
                <c:pt idx="4">
                  <c:v>0</c:v>
                </c:pt>
              </c:numCache>
            </c:numRef>
          </c:val>
          <c:smooth val="0"/>
        </c:ser>
        <c:marker val="1"/>
        <c:axId val="36214297"/>
        <c:axId val="57493218"/>
      </c:lineChart>
      <c:catAx>
        <c:axId val="36214297"/>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out"/>
        <c:tickLblPos val="nextTo"/>
        <c:crossAx val="57493218"/>
        <c:crosses val="autoZero"/>
        <c:auto val="1"/>
        <c:lblOffset val="100"/>
        <c:noMultiLvlLbl val="0"/>
      </c:catAx>
      <c:valAx>
        <c:axId val="57493218"/>
        <c:scaling>
          <c:orientation val="minMax"/>
        </c:scaling>
        <c:axPos val="l"/>
        <c:title>
          <c:tx>
            <c:rich>
              <a:bodyPr vert="horz" rot="-5400000" anchor="ctr"/>
              <a:lstStyle/>
              <a:p>
                <a:pPr algn="ctr">
                  <a:defRPr/>
                </a:pPr>
                <a:r>
                  <a:rPr lang="en-US" cap="none" sz="1200" b="1" i="0" u="none" baseline="0">
                    <a:latin typeface="Arial"/>
                    <a:ea typeface="Arial"/>
                    <a:cs typeface="Arial"/>
                  </a:rPr>
                  <a:t>Tonnes of CO2 equivalents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6214297"/>
        <c:crossesAt val="1"/>
        <c:crossBetween val="between"/>
        <c:dispUnits/>
      </c:valAx>
      <c:spPr>
        <a:noFill/>
        <a:ln w="12700">
          <a:solidFill>
            <a:srgbClr val="808080"/>
          </a:solidFill>
        </a:ln>
      </c:spPr>
    </c:plotArea>
    <c:legend>
      <c:legendPos val="r"/>
      <c:layout>
        <c:manualLayout>
          <c:xMode val="edge"/>
          <c:yMode val="edge"/>
          <c:x val="0.74775"/>
          <c:y val="0.20325"/>
          <c:w val="0.2395"/>
          <c:h val="0.4892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15"/>
          <c:y val="0.019"/>
          <c:w val="0.7225"/>
          <c:h val="0.9065"/>
        </c:manualLayout>
      </c:layout>
      <c:areaChart>
        <c:grouping val="stacked"/>
        <c:varyColors val="0"/>
        <c:ser>
          <c:idx val="0"/>
          <c:order val="0"/>
          <c:tx>
            <c:strRef>
              <c:f>'SUMMARY OF EMISSIONS SAVINGS'!$D$22</c:f>
              <c:strCache>
                <c:ptCount val="1"/>
                <c:pt idx="0">
                  <c:v>Power Stations (electricity generation &amp; EfW)</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SAVINGS'!$F$22:$J$22</c:f>
              <c:numCache/>
            </c:numRef>
          </c:val>
        </c:ser>
        <c:ser>
          <c:idx val="1"/>
          <c:order val="1"/>
          <c:tx>
            <c:strRef>
              <c:f>'SUMMARY OF EMISSIONS SAVINGS'!$D$23</c:f>
              <c:strCache>
                <c:ptCount val="1"/>
                <c:pt idx="0">
                  <c:v>Aviation</c:v>
                </c:pt>
              </c:strCache>
            </c:strRef>
          </c:tx>
          <c:spPr>
            <a:solidFill>
              <a:srgbClr val="993300"/>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SAVINGS'!$F$23:$J$23</c:f>
              <c:numCache/>
            </c:numRef>
          </c:val>
        </c:ser>
        <c:ser>
          <c:idx val="2"/>
          <c:order val="2"/>
          <c:tx>
            <c:strRef>
              <c:f>'SUMMARY OF EMISSIONS SAVINGS'!$D$24</c:f>
              <c:strCache>
                <c:ptCount val="1"/>
                <c:pt idx="0">
                  <c:v>Road transport</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SAVINGS'!$F$24:$J$24</c:f>
              <c:numCache/>
            </c:numRef>
          </c:val>
        </c:ser>
        <c:ser>
          <c:idx val="3"/>
          <c:order val="3"/>
          <c:tx>
            <c:strRef>
              <c:f>'SUMMARY OF EMISSIONS SAVINGS'!$D$25</c:f>
              <c:strCache>
                <c:ptCount val="1"/>
                <c:pt idx="0">
                  <c:v>Industrial and Commercial Sector</c:v>
                </c:pt>
              </c:strCache>
            </c:strRef>
          </c:tx>
          <c:spPr>
            <a:solidFill>
              <a:srgbClr val="FF9900"/>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SAVINGS'!$F$25:$J$25</c:f>
              <c:numCache/>
            </c:numRef>
          </c:val>
        </c:ser>
        <c:ser>
          <c:idx val="4"/>
          <c:order val="4"/>
          <c:tx>
            <c:strRef>
              <c:f>'SUMMARY OF EMISSIONS SAVINGS'!$D$26</c:f>
              <c:strCache>
                <c:ptCount val="1"/>
                <c:pt idx="0">
                  <c:v>Domestic sector</c:v>
                </c:pt>
              </c:strCache>
            </c:strRef>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SAVINGS'!$F$26:$J$26</c:f>
              <c:numCache/>
            </c:numRef>
          </c:val>
        </c:ser>
        <c:ser>
          <c:idx val="5"/>
          <c:order val="5"/>
          <c:tx>
            <c:strRef>
              <c:f>'SUMMARY OF EMISSIONS SAVINGS'!$D$27</c:f>
              <c:strCache>
                <c:ptCount val="1"/>
                <c:pt idx="0">
                  <c:v>Land use, land use change &amp; forestry</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SAVINGS'!$F$27:$J$27</c:f>
              <c:numCache/>
            </c:numRef>
          </c:val>
        </c:ser>
        <c:ser>
          <c:idx val="6"/>
          <c:order val="6"/>
          <c:tx>
            <c:strRef>
              <c:f>'SUMMARY OF EMISSIONS SAVINGS'!$D$28</c:f>
              <c:strCache>
                <c:ptCount val="1"/>
                <c:pt idx="0">
                  <c:v>Agriculture</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SAVINGS'!$F$28:$J$28</c:f>
              <c:numCache/>
            </c:numRef>
          </c:val>
        </c:ser>
        <c:ser>
          <c:idx val="7"/>
          <c:order val="7"/>
          <c:tx>
            <c:strRef>
              <c:f>'SUMMARY OF EMISSIONS SAVINGS'!$D$29</c:f>
              <c:strCache>
                <c:ptCount val="1"/>
                <c:pt idx="0">
                  <c:v>Waste water treatment</c:v>
                </c:pt>
              </c:strCache>
            </c:strRef>
          </c:tx>
          <c:spPr>
            <a:solidFill>
              <a:srgbClr val="FF00FF"/>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SAVINGS'!$F$29:$J$29</c:f>
              <c:numCache/>
            </c:numRef>
          </c:val>
        </c:ser>
        <c:ser>
          <c:idx val="8"/>
          <c:order val="8"/>
          <c:tx>
            <c:strRef>
              <c:f>'SUMMARY OF EMISSIONS SAVINGS'!$D$30</c:f>
              <c:strCache>
                <c:ptCount val="1"/>
                <c:pt idx="0">
                  <c:v>HFCs &amp; PFCs &amp; SF6</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SAVINGS'!$F$30:$J$30</c:f>
              <c:numCache/>
            </c:numRef>
          </c:val>
        </c:ser>
        <c:axId val="47676915"/>
        <c:axId val="26439052"/>
      </c:areaChart>
      <c:catAx>
        <c:axId val="47676915"/>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26439052"/>
        <c:crosses val="autoZero"/>
        <c:auto val="1"/>
        <c:lblOffset val="100"/>
        <c:noMultiLvlLbl val="0"/>
      </c:catAx>
      <c:valAx>
        <c:axId val="26439052"/>
        <c:scaling>
          <c:orientation val="minMax"/>
        </c:scaling>
        <c:axPos val="l"/>
        <c:title>
          <c:tx>
            <c:rich>
              <a:bodyPr vert="horz" rot="-5400000" anchor="ctr"/>
              <a:lstStyle/>
              <a:p>
                <a:pPr algn="ctr">
                  <a:defRPr/>
                </a:pPr>
                <a:r>
                  <a:rPr lang="en-US" cap="none" sz="1200" b="1" i="0" u="none" baseline="0">
                    <a:latin typeface="Arial"/>
                    <a:ea typeface="Arial"/>
                    <a:cs typeface="Arial"/>
                  </a:rPr>
                  <a:t>Tonnes of CO2 equivalents</a:t>
                </a:r>
              </a:p>
            </c:rich>
          </c:tx>
          <c:layout/>
          <c:overlay val="0"/>
          <c:spPr>
            <a:noFill/>
            <a:ln>
              <a:noFill/>
            </a:ln>
          </c:spPr>
        </c:title>
        <c:majorGridlines/>
        <c:delete val="0"/>
        <c:numFmt formatCode="General" sourceLinked="1"/>
        <c:majorTickMark val="out"/>
        <c:minorTickMark val="none"/>
        <c:tickLblPos val="nextTo"/>
        <c:crossAx val="47676915"/>
        <c:crossesAt val="1"/>
        <c:crossBetween val="midCat"/>
        <c:dispUnits/>
      </c:valAx>
      <c:spPr>
        <a:gradFill rotWithShape="1">
          <a:gsLst>
            <a:gs pos="0">
              <a:srgbClr val="FFFFFF"/>
            </a:gs>
            <a:gs pos="100000">
              <a:srgbClr val="C0C0C0"/>
            </a:gs>
          </a:gsLst>
          <a:lin ang="5400000" scaled="1"/>
        </a:gradFill>
        <a:ln w="12700">
          <a:solidFill>
            <a:srgbClr val="808080"/>
          </a:solidFill>
        </a:ln>
      </c:spPr>
    </c:plotArea>
    <c:legend>
      <c:legendPos val="r"/>
      <c:layout>
        <c:manualLayout>
          <c:xMode val="edge"/>
          <c:yMode val="edge"/>
          <c:x val="0.75925"/>
          <c:y val="0.0965"/>
          <c:w val="0.20875"/>
          <c:h val="0.66475"/>
        </c:manualLayout>
      </c:layout>
      <c:overlay val="0"/>
      <c:spPr>
        <a:ln w="3175">
          <a:noFill/>
        </a:ln>
      </c:spPr>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0575"/>
          <c:w val="0.58475"/>
          <c:h val="0.97975"/>
        </c:manualLayout>
      </c:layout>
      <c:barChart>
        <c:barDir val="col"/>
        <c:grouping val="stacked"/>
        <c:varyColors val="0"/>
        <c:ser>
          <c:idx val="0"/>
          <c:order val="0"/>
          <c:tx>
            <c:strRef>
              <c:f>'Summary Data'!$C$113</c:f>
              <c:strCache>
                <c:ptCount val="1"/>
                <c:pt idx="0">
                  <c:v>Power Stations (electricity generation &amp; EfW)</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Data'!$D$113:$F$113</c:f>
              <c:numCache/>
            </c:numRef>
          </c:val>
        </c:ser>
        <c:ser>
          <c:idx val="1"/>
          <c:order val="1"/>
          <c:tx>
            <c:strRef>
              <c:f>'Summary Data'!$C$114</c:f>
              <c:strCache>
                <c:ptCount val="1"/>
                <c:pt idx="0">
                  <c:v>Industrial combustion</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Data'!$D$114:$F$114</c:f>
              <c:numCache/>
            </c:numRef>
          </c:val>
        </c:ser>
        <c:ser>
          <c:idx val="2"/>
          <c:order val="2"/>
          <c:tx>
            <c:strRef>
              <c:f>'Summary Data'!$C$115</c:f>
              <c:strCache>
                <c:ptCount val="1"/>
                <c:pt idx="0">
                  <c:v>Aviation</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Data'!$D$115:$F$115</c:f>
              <c:numCache/>
            </c:numRef>
          </c:val>
        </c:ser>
        <c:ser>
          <c:idx val="3"/>
          <c:order val="3"/>
          <c:tx>
            <c:strRef>
              <c:f>'Summary Data'!$C$116</c:f>
              <c:strCache>
                <c:ptCount val="1"/>
                <c:pt idx="0">
                  <c:v>Road transport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Data'!$D$116:$F$116</c:f>
              <c:numCache/>
            </c:numRef>
          </c:val>
        </c:ser>
        <c:ser>
          <c:idx val="4"/>
          <c:order val="4"/>
          <c:tx>
            <c:strRef>
              <c:f>'Summary Data'!$C$117</c:f>
              <c:strCache>
                <c:ptCount val="1"/>
                <c:pt idx="0">
                  <c:v>Commercial Sector</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Data'!$D$117:$F$117</c:f>
              <c:numCache/>
            </c:numRef>
          </c:val>
        </c:ser>
        <c:ser>
          <c:idx val="5"/>
          <c:order val="5"/>
          <c:tx>
            <c:strRef>
              <c:f>'Summary Data'!$C$118</c:f>
              <c:strCache>
                <c:ptCount val="1"/>
                <c:pt idx="0">
                  <c:v>Domestic sector</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Data'!$D$118:$F$118</c:f>
              <c:numCache/>
            </c:numRef>
          </c:val>
        </c:ser>
        <c:ser>
          <c:idx val="6"/>
          <c:order val="6"/>
          <c:tx>
            <c:strRef>
              <c:f>'Summary Data'!$C$119</c:f>
              <c:strCache>
                <c:ptCount val="1"/>
                <c:pt idx="0">
                  <c:v>Land use, land use change &amp; forestry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 Data'!$D$112:$F$112</c:f>
              <c:strCache/>
            </c:strRef>
          </c:cat>
          <c:val>
            <c:numRef>
              <c:f>'Summary Data'!$D$119:$F$119</c:f>
              <c:numCache/>
            </c:numRef>
          </c:val>
        </c:ser>
        <c:ser>
          <c:idx val="7"/>
          <c:order val="7"/>
          <c:tx>
            <c:strRef>
              <c:f>'Summary Data'!$C$120</c:f>
              <c:strCache>
                <c:ptCount val="1"/>
                <c:pt idx="0">
                  <c:v>Agriculture</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Data'!$D$120:$F$120</c:f>
              <c:numCache/>
            </c:numRef>
          </c:val>
        </c:ser>
        <c:ser>
          <c:idx val="8"/>
          <c:order val="8"/>
          <c:tx>
            <c:strRef>
              <c:f>'Summary Data'!$C$121</c:f>
              <c:strCache>
                <c:ptCount val="1"/>
                <c:pt idx="0">
                  <c:v>Waste water treatment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 Data'!$D$112:$F$112</c:f>
              <c:strCache/>
            </c:strRef>
          </c:cat>
          <c:val>
            <c:numRef>
              <c:f>'Summary Data'!$D$121:$F$121</c:f>
              <c:numCache/>
            </c:numRef>
          </c:val>
        </c:ser>
        <c:ser>
          <c:idx val="9"/>
          <c:order val="9"/>
          <c:tx>
            <c:strRef>
              <c:f>'Summary Data'!$C$122</c:f>
              <c:strCache>
                <c:ptCount val="1"/>
                <c:pt idx="0">
                  <c:v>HFCs &amp; PFCs &amp; SF6</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Data'!$D$122:$F$122</c:f>
              <c:numCache/>
            </c:numRef>
          </c:val>
        </c:ser>
        <c:overlap val="100"/>
        <c:axId val="12467145"/>
        <c:axId val="45095442"/>
      </c:barChart>
      <c:catAx>
        <c:axId val="1246714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095442"/>
        <c:crosses val="autoZero"/>
        <c:auto val="1"/>
        <c:lblOffset val="100"/>
        <c:noMultiLvlLbl val="0"/>
      </c:catAx>
      <c:valAx>
        <c:axId val="45095442"/>
        <c:scaling>
          <c:orientation val="minMax"/>
        </c:scaling>
        <c:axPos val="l"/>
        <c:title>
          <c:tx>
            <c:rich>
              <a:bodyPr vert="horz" rot="-5400000" anchor="ctr"/>
              <a:lstStyle/>
              <a:p>
                <a:pPr algn="ctr">
                  <a:defRPr/>
                </a:pPr>
                <a:r>
                  <a:rPr lang="en-US" cap="none" sz="1425" b="1" i="0" u="none" baseline="0">
                    <a:latin typeface="Arial"/>
                    <a:ea typeface="Arial"/>
                    <a:cs typeface="Arial"/>
                  </a:rPr>
                  <a:t>Tonnes of CO2 equivalents</a:t>
                </a:r>
              </a:p>
            </c:rich>
          </c:tx>
          <c:layout>
            <c:manualLayout>
              <c:xMode val="factor"/>
              <c:yMode val="factor"/>
              <c:x val="-0.0035"/>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450" b="0" i="0" u="none" baseline="0">
                <a:latin typeface="Arial"/>
                <a:ea typeface="Arial"/>
                <a:cs typeface="Arial"/>
              </a:defRPr>
            </a:pPr>
          </a:p>
        </c:txPr>
        <c:crossAx val="12467145"/>
        <c:crossesAt val="1"/>
        <c:crossBetween val="between"/>
        <c:dispUnits/>
      </c:valAx>
      <c:spPr>
        <a:noFill/>
        <a:ln>
          <a:noFill/>
        </a:ln>
      </c:spPr>
    </c:plotArea>
    <c:legend>
      <c:legendPos val="r"/>
      <c:layout>
        <c:manualLayout>
          <c:xMode val="edge"/>
          <c:yMode val="edge"/>
          <c:x val="0.658"/>
          <c:y val="0.225"/>
        </c:manualLayout>
      </c:layout>
      <c:overlay val="0"/>
      <c:spPr>
        <a:ln w="3175">
          <a:noFill/>
        </a:ln>
      </c:sp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675"/>
          <c:y val="0.05725"/>
          <c:w val="0.73075"/>
          <c:h val="0.877"/>
        </c:manualLayout>
      </c:layout>
      <c:areaChart>
        <c:grouping val="stacked"/>
        <c:varyColors val="0"/>
        <c:ser>
          <c:idx val="1"/>
          <c:order val="0"/>
          <c:tx>
            <c:strRef>
              <c:f>'Summary Data'!$R$138</c:f>
              <c:strCache>
                <c:ptCount val="1"/>
                <c:pt idx="0">
                  <c:v>Power Stations (electricity generation &amp; EfW)</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Data'!$T$138:$X$138</c:f>
              <c:numCache>
                <c:ptCount val="5"/>
                <c:pt idx="0">
                  <c:v>0</c:v>
                </c:pt>
                <c:pt idx="1">
                  <c:v>0</c:v>
                </c:pt>
                <c:pt idx="2">
                  <c:v>0</c:v>
                </c:pt>
                <c:pt idx="3">
                  <c:v>0</c:v>
                </c:pt>
                <c:pt idx="4">
                  <c:v>0</c:v>
                </c:pt>
              </c:numCache>
            </c:numRef>
          </c:val>
        </c:ser>
        <c:ser>
          <c:idx val="2"/>
          <c:order val="1"/>
          <c:tx>
            <c:strRef>
              <c:f>'Summary Data'!$R$139</c:f>
              <c:strCache>
                <c:ptCount val="1"/>
                <c:pt idx="0">
                  <c:v>Industrial combustion</c:v>
                </c:pt>
              </c:strCache>
            </c:strRef>
          </c:tx>
          <c:spPr>
            <a:solidFill>
              <a:srgbClr val="800000"/>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Data'!$T$139:$X$139</c:f>
              <c:numCache>
                <c:ptCount val="5"/>
                <c:pt idx="0">
                  <c:v>0</c:v>
                </c:pt>
                <c:pt idx="1">
                  <c:v>0</c:v>
                </c:pt>
                <c:pt idx="2">
                  <c:v>0</c:v>
                </c:pt>
                <c:pt idx="3">
                  <c:v>0</c:v>
                </c:pt>
                <c:pt idx="4">
                  <c:v>0</c:v>
                </c:pt>
              </c:numCache>
            </c:numRef>
          </c:val>
        </c:ser>
        <c:ser>
          <c:idx val="3"/>
          <c:order val="2"/>
          <c:tx>
            <c:strRef>
              <c:f>'Summary Data'!$R$140</c:f>
              <c:strCache>
                <c:ptCount val="1"/>
                <c:pt idx="0">
                  <c:v>Aviation</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Data'!$T$140:$X$140</c:f>
              <c:numCache>
                <c:ptCount val="5"/>
                <c:pt idx="0">
                  <c:v>0</c:v>
                </c:pt>
                <c:pt idx="1">
                  <c:v>0</c:v>
                </c:pt>
                <c:pt idx="2">
                  <c:v>0</c:v>
                </c:pt>
                <c:pt idx="3">
                  <c:v>0</c:v>
                </c:pt>
                <c:pt idx="4">
                  <c:v>0</c:v>
                </c:pt>
              </c:numCache>
            </c:numRef>
          </c:val>
        </c:ser>
        <c:ser>
          <c:idx val="4"/>
          <c:order val="3"/>
          <c:tx>
            <c:strRef>
              <c:f>'Summary Data'!$R$141</c:f>
              <c:strCache>
                <c:ptCount val="1"/>
                <c:pt idx="0">
                  <c:v>Road transport</c:v>
                </c:pt>
              </c:strCache>
            </c:strRef>
          </c:tx>
          <c:spPr>
            <a:solidFill>
              <a:srgbClr val="FF6600"/>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Data'!$T$141:$X$141</c:f>
              <c:numCache>
                <c:ptCount val="5"/>
                <c:pt idx="0">
                  <c:v>0</c:v>
                </c:pt>
                <c:pt idx="1">
                  <c:v>0</c:v>
                </c:pt>
                <c:pt idx="2">
                  <c:v>0</c:v>
                </c:pt>
                <c:pt idx="3">
                  <c:v>0</c:v>
                </c:pt>
                <c:pt idx="4">
                  <c:v>0</c:v>
                </c:pt>
              </c:numCache>
            </c:numRef>
          </c:val>
        </c:ser>
        <c:ser>
          <c:idx val="5"/>
          <c:order val="4"/>
          <c:tx>
            <c:strRef>
              <c:f>'Summary Data'!$R$142</c:f>
              <c:strCache>
                <c:ptCount val="1"/>
                <c:pt idx="0">
                  <c:v>Commercial Sector</c:v>
                </c:pt>
              </c:strCache>
            </c:strRef>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Data'!$T$142:$X$142</c:f>
              <c:numCache>
                <c:ptCount val="5"/>
                <c:pt idx="0">
                  <c:v>0</c:v>
                </c:pt>
                <c:pt idx="1">
                  <c:v>0</c:v>
                </c:pt>
                <c:pt idx="2">
                  <c:v>0</c:v>
                </c:pt>
                <c:pt idx="3">
                  <c:v>0</c:v>
                </c:pt>
                <c:pt idx="4">
                  <c:v>0</c:v>
                </c:pt>
              </c:numCache>
            </c:numRef>
          </c:val>
        </c:ser>
        <c:ser>
          <c:idx val="6"/>
          <c:order val="5"/>
          <c:tx>
            <c:strRef>
              <c:f>'Summary Data'!$R$143</c:f>
              <c:strCache>
                <c:ptCount val="1"/>
                <c:pt idx="0">
                  <c:v>Domestic sector</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Data'!$T$143:$X$143</c:f>
              <c:numCache>
                <c:ptCount val="5"/>
                <c:pt idx="0">
                  <c:v>0</c:v>
                </c:pt>
                <c:pt idx="1">
                  <c:v>0</c:v>
                </c:pt>
                <c:pt idx="2">
                  <c:v>0</c:v>
                </c:pt>
                <c:pt idx="3">
                  <c:v>0</c:v>
                </c:pt>
                <c:pt idx="4">
                  <c:v>0</c:v>
                </c:pt>
              </c:numCache>
            </c:numRef>
          </c:val>
        </c:ser>
        <c:ser>
          <c:idx val="7"/>
          <c:order val="6"/>
          <c:tx>
            <c:strRef>
              <c:f>'Summary Data'!$R$144</c:f>
              <c:strCache>
                <c:ptCount val="1"/>
                <c:pt idx="0">
                  <c:v>Land use, land use change &amp; forestry</c:v>
                </c:pt>
              </c:strCache>
            </c:strRef>
          </c:tx>
          <c:extLst>
            <c:ext xmlns:c14="http://schemas.microsoft.com/office/drawing/2007/8/2/chart" uri="{6F2FDCE9-48DA-4B69-8628-5D25D57E5C99}">
              <c14:invertSolidFillFmt>
                <c14:spPr>
                  <a:solidFill>
                    <a:srgbClr val="000000"/>
                  </a:solidFill>
                </c14:spPr>
              </c14:invertSolidFillFmt>
            </c:ext>
          </c:extLst>
          <c:cat>
            <c:numRef>
              <c:f>'Summary Data'!$T$137:$X$137</c:f>
              <c:numCache>
                <c:ptCount val="5"/>
                <c:pt idx="0">
                  <c:v>0</c:v>
                </c:pt>
                <c:pt idx="1">
                  <c:v>0</c:v>
                </c:pt>
                <c:pt idx="2">
                  <c:v>0</c:v>
                </c:pt>
                <c:pt idx="3">
                  <c:v>0</c:v>
                </c:pt>
                <c:pt idx="4">
                  <c:v>0</c:v>
                </c:pt>
              </c:numCache>
            </c:numRef>
          </c:cat>
          <c:val>
            <c:numRef>
              <c:f>'Summary Data'!$T$144:$X$144</c:f>
              <c:numCache>
                <c:ptCount val="5"/>
                <c:pt idx="0">
                  <c:v>0</c:v>
                </c:pt>
                <c:pt idx="1">
                  <c:v>0</c:v>
                </c:pt>
                <c:pt idx="2">
                  <c:v>0</c:v>
                </c:pt>
                <c:pt idx="3">
                  <c:v>0</c:v>
                </c:pt>
                <c:pt idx="4">
                  <c:v>0</c:v>
                </c:pt>
              </c:numCache>
            </c:numRef>
          </c:val>
        </c:ser>
        <c:ser>
          <c:idx val="8"/>
          <c:order val="7"/>
          <c:tx>
            <c:strRef>
              <c:f>'Summary Data'!$R$145</c:f>
              <c:strCache>
                <c:ptCount val="1"/>
                <c:pt idx="0">
                  <c:v>Agriculture</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Data'!$T$145:$X$145</c:f>
              <c:numCache>
                <c:ptCount val="5"/>
                <c:pt idx="0">
                  <c:v>0</c:v>
                </c:pt>
                <c:pt idx="1">
                  <c:v>0</c:v>
                </c:pt>
                <c:pt idx="2">
                  <c:v>0</c:v>
                </c:pt>
                <c:pt idx="3">
                  <c:v>0</c:v>
                </c:pt>
                <c:pt idx="4">
                  <c:v>0</c:v>
                </c:pt>
              </c:numCache>
            </c:numRef>
          </c:val>
        </c:ser>
        <c:ser>
          <c:idx val="9"/>
          <c:order val="8"/>
          <c:tx>
            <c:strRef>
              <c:f>'Summary Data'!$R$146</c:f>
              <c:strCache>
                <c:ptCount val="1"/>
                <c:pt idx="0">
                  <c:v>Waste water treatment</c:v>
                </c:pt>
              </c:strCache>
            </c:strRef>
          </c:tx>
          <c:extLst>
            <c:ext xmlns:c14="http://schemas.microsoft.com/office/drawing/2007/8/2/chart" uri="{6F2FDCE9-48DA-4B69-8628-5D25D57E5C99}">
              <c14:invertSolidFillFmt>
                <c14:spPr>
                  <a:solidFill>
                    <a:srgbClr val="000000"/>
                  </a:solidFill>
                </c14:spPr>
              </c14:invertSolidFillFmt>
            </c:ext>
          </c:extLst>
          <c:cat>
            <c:numRef>
              <c:f>'Summary Data'!$T$137:$X$137</c:f>
              <c:numCache>
                <c:ptCount val="5"/>
                <c:pt idx="0">
                  <c:v>0</c:v>
                </c:pt>
                <c:pt idx="1">
                  <c:v>0</c:v>
                </c:pt>
                <c:pt idx="2">
                  <c:v>0</c:v>
                </c:pt>
                <c:pt idx="3">
                  <c:v>0</c:v>
                </c:pt>
                <c:pt idx="4">
                  <c:v>0</c:v>
                </c:pt>
              </c:numCache>
            </c:numRef>
          </c:cat>
          <c:val>
            <c:numRef>
              <c:f>'Summary Data'!$T$146:$X$146</c:f>
              <c:numCache>
                <c:ptCount val="5"/>
                <c:pt idx="0">
                  <c:v>0</c:v>
                </c:pt>
                <c:pt idx="1">
                  <c:v>0</c:v>
                </c:pt>
                <c:pt idx="2">
                  <c:v>0</c:v>
                </c:pt>
                <c:pt idx="3">
                  <c:v>0</c:v>
                </c:pt>
                <c:pt idx="4">
                  <c:v>0</c:v>
                </c:pt>
              </c:numCache>
            </c:numRef>
          </c:val>
        </c:ser>
        <c:ser>
          <c:idx val="10"/>
          <c:order val="9"/>
          <c:tx>
            <c:strRef>
              <c:f>'Summary Data'!$R$147</c:f>
              <c:strCache>
                <c:ptCount val="1"/>
                <c:pt idx="0">
                  <c:v>HFCs &amp; PFCs &amp; SF6</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Data'!$T$147:$X$147</c:f>
              <c:numCache>
                <c:ptCount val="5"/>
                <c:pt idx="0">
                  <c:v>0</c:v>
                </c:pt>
                <c:pt idx="1">
                  <c:v>0</c:v>
                </c:pt>
                <c:pt idx="2">
                  <c:v>0</c:v>
                </c:pt>
                <c:pt idx="3">
                  <c:v>0</c:v>
                </c:pt>
                <c:pt idx="4">
                  <c:v>0</c:v>
                </c:pt>
              </c:numCache>
            </c:numRef>
          </c:val>
        </c:ser>
        <c:axId val="3205795"/>
        <c:axId val="28852156"/>
      </c:areaChart>
      <c:catAx>
        <c:axId val="3205795"/>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28852156"/>
        <c:crosses val="autoZero"/>
        <c:auto val="1"/>
        <c:lblOffset val="100"/>
        <c:noMultiLvlLbl val="0"/>
      </c:catAx>
      <c:valAx>
        <c:axId val="28852156"/>
        <c:scaling>
          <c:orientation val="minMax"/>
        </c:scaling>
        <c:axPos val="l"/>
        <c:title>
          <c:tx>
            <c:rich>
              <a:bodyPr vert="horz" rot="-5400000" anchor="ctr"/>
              <a:lstStyle/>
              <a:p>
                <a:pPr algn="ctr">
                  <a:defRPr/>
                </a:pPr>
                <a:r>
                  <a:rPr lang="en-US" cap="none" sz="1100" b="0" i="0" u="none" baseline="0">
                    <a:latin typeface="Arial"/>
                    <a:ea typeface="Arial"/>
                    <a:cs typeface="Arial"/>
                  </a:rPr>
                  <a:t>Tonnes CO2 equivalents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205795"/>
        <c:crossesAt val="1"/>
        <c:crossBetween val="midCat"/>
        <c:dispUnits/>
      </c:valAx>
      <c:spPr>
        <a:gradFill rotWithShape="1">
          <a:gsLst>
            <a:gs pos="0">
              <a:srgbClr val="F0F0F0"/>
            </a:gs>
            <a:gs pos="100000">
              <a:srgbClr val="C0C0C0"/>
            </a:gs>
          </a:gsLst>
          <a:lin ang="5400000" scaled="1"/>
        </a:gradFill>
      </c:spPr>
    </c:plotArea>
    <c:legend>
      <c:legendPos val="r"/>
      <c:layout>
        <c:manualLayout>
          <c:xMode val="edge"/>
          <c:yMode val="edge"/>
          <c:x val="0.79925"/>
          <c:y val="0.07375"/>
          <c:w val="0.19"/>
          <c:h val="0.85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625"/>
          <c:y val="0.043"/>
          <c:w val="0.697"/>
          <c:h val="0.87475"/>
        </c:manualLayout>
      </c:layout>
      <c:areaChart>
        <c:grouping val="stacked"/>
        <c:varyColors val="0"/>
        <c:ser>
          <c:idx val="1"/>
          <c:order val="0"/>
          <c:tx>
            <c:strRef>
              <c:f>'Summary Data'!$R$194</c:f>
              <c:strCache>
                <c:ptCount val="1"/>
                <c:pt idx="0">
                  <c:v>Power Stations (electricity generation &amp; EfW)</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Data'!$S$194:$X$194</c:f>
              <c:numCache>
                <c:ptCount val="6"/>
                <c:pt idx="0">
                  <c:v>0</c:v>
                </c:pt>
                <c:pt idx="1">
                  <c:v>0</c:v>
                </c:pt>
                <c:pt idx="2">
                  <c:v>0</c:v>
                </c:pt>
                <c:pt idx="3">
                  <c:v>0</c:v>
                </c:pt>
                <c:pt idx="4">
                  <c:v>0</c:v>
                </c:pt>
                <c:pt idx="5">
                  <c:v>0</c:v>
                </c:pt>
              </c:numCache>
            </c:numRef>
          </c:val>
        </c:ser>
        <c:ser>
          <c:idx val="2"/>
          <c:order val="1"/>
          <c:tx>
            <c:strRef>
              <c:f>'Summary Data'!$R$195</c:f>
              <c:strCache>
                <c:ptCount val="1"/>
                <c:pt idx="0">
                  <c:v>Industrial combustion</c:v>
                </c:pt>
              </c:strCache>
            </c:strRef>
          </c:tx>
          <c:spPr>
            <a:solidFill>
              <a:srgbClr val="800000"/>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Data'!$S$195:$X$195</c:f>
              <c:numCache>
                <c:ptCount val="6"/>
                <c:pt idx="0">
                  <c:v>0</c:v>
                </c:pt>
                <c:pt idx="1">
                  <c:v>0</c:v>
                </c:pt>
                <c:pt idx="2">
                  <c:v>0</c:v>
                </c:pt>
                <c:pt idx="3">
                  <c:v>0</c:v>
                </c:pt>
                <c:pt idx="4">
                  <c:v>0</c:v>
                </c:pt>
                <c:pt idx="5">
                  <c:v>0</c:v>
                </c:pt>
              </c:numCache>
            </c:numRef>
          </c:val>
        </c:ser>
        <c:ser>
          <c:idx val="3"/>
          <c:order val="2"/>
          <c:tx>
            <c:strRef>
              <c:f>'Summary Data'!$R$196</c:f>
              <c:strCache>
                <c:ptCount val="1"/>
                <c:pt idx="0">
                  <c:v>Aviation</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Data'!$S$196:$X$196</c:f>
              <c:numCache>
                <c:ptCount val="6"/>
                <c:pt idx="0">
                  <c:v>0</c:v>
                </c:pt>
                <c:pt idx="1">
                  <c:v>0</c:v>
                </c:pt>
                <c:pt idx="2">
                  <c:v>0</c:v>
                </c:pt>
                <c:pt idx="3">
                  <c:v>0</c:v>
                </c:pt>
                <c:pt idx="4">
                  <c:v>0</c:v>
                </c:pt>
                <c:pt idx="5">
                  <c:v>0</c:v>
                </c:pt>
              </c:numCache>
            </c:numRef>
          </c:val>
        </c:ser>
        <c:ser>
          <c:idx val="4"/>
          <c:order val="3"/>
          <c:tx>
            <c:strRef>
              <c:f>'Summary Data'!$R$197</c:f>
              <c:strCache>
                <c:ptCount val="1"/>
                <c:pt idx="0">
                  <c:v>Road transport</c:v>
                </c:pt>
              </c:strCache>
            </c:strRef>
          </c:tx>
          <c:spPr>
            <a:solidFill>
              <a:srgbClr val="FF6600"/>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Data'!$S$197:$X$197</c:f>
              <c:numCache>
                <c:ptCount val="6"/>
                <c:pt idx="0">
                  <c:v>0</c:v>
                </c:pt>
                <c:pt idx="1">
                  <c:v>0</c:v>
                </c:pt>
                <c:pt idx="2">
                  <c:v>0</c:v>
                </c:pt>
                <c:pt idx="3">
                  <c:v>0</c:v>
                </c:pt>
                <c:pt idx="4">
                  <c:v>0</c:v>
                </c:pt>
                <c:pt idx="5">
                  <c:v>0</c:v>
                </c:pt>
              </c:numCache>
            </c:numRef>
          </c:val>
        </c:ser>
        <c:ser>
          <c:idx val="5"/>
          <c:order val="4"/>
          <c:tx>
            <c:strRef>
              <c:f>'Summary Data'!$R$198</c:f>
              <c:strCache>
                <c:ptCount val="1"/>
                <c:pt idx="0">
                  <c:v>Commercial Sector</c:v>
                </c:pt>
              </c:strCache>
            </c:strRef>
          </c:tx>
          <c:spPr>
            <a:solidFill>
              <a:srgbClr val="FF9900"/>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Data'!$S$198:$X$198</c:f>
              <c:numCache>
                <c:ptCount val="6"/>
                <c:pt idx="0">
                  <c:v>0</c:v>
                </c:pt>
                <c:pt idx="1">
                  <c:v>0</c:v>
                </c:pt>
                <c:pt idx="2">
                  <c:v>0</c:v>
                </c:pt>
                <c:pt idx="3">
                  <c:v>0</c:v>
                </c:pt>
                <c:pt idx="4">
                  <c:v>0</c:v>
                </c:pt>
                <c:pt idx="5">
                  <c:v>0</c:v>
                </c:pt>
              </c:numCache>
            </c:numRef>
          </c:val>
        </c:ser>
        <c:ser>
          <c:idx val="6"/>
          <c:order val="5"/>
          <c:tx>
            <c:strRef>
              <c:f>'Summary Data'!$R$199</c:f>
              <c:strCache>
                <c:ptCount val="1"/>
                <c:pt idx="0">
                  <c:v>Domestic sector</c:v>
                </c:pt>
              </c:strCache>
            </c:strRef>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Data'!$S$199:$X$199</c:f>
              <c:numCache>
                <c:ptCount val="6"/>
                <c:pt idx="0">
                  <c:v>0</c:v>
                </c:pt>
                <c:pt idx="1">
                  <c:v>0</c:v>
                </c:pt>
                <c:pt idx="2">
                  <c:v>0</c:v>
                </c:pt>
                <c:pt idx="3">
                  <c:v>0</c:v>
                </c:pt>
                <c:pt idx="4">
                  <c:v>0</c:v>
                </c:pt>
                <c:pt idx="5">
                  <c:v>0</c:v>
                </c:pt>
              </c:numCache>
            </c:numRef>
          </c:val>
        </c:ser>
        <c:ser>
          <c:idx val="7"/>
          <c:order val="6"/>
          <c:tx>
            <c:strRef>
              <c:f>'Summary Data'!$R$200</c:f>
              <c:strCache>
                <c:ptCount val="1"/>
                <c:pt idx="0">
                  <c:v>Land use, land use change &amp; forestry</c:v>
                </c:pt>
              </c:strCache>
            </c:strRef>
          </c:tx>
          <c:extLst>
            <c:ext xmlns:c14="http://schemas.microsoft.com/office/drawing/2007/8/2/chart" uri="{6F2FDCE9-48DA-4B69-8628-5D25D57E5C99}">
              <c14:invertSolidFillFmt>
                <c14:spPr>
                  <a:solidFill>
                    <a:srgbClr val="000000"/>
                  </a:solidFill>
                </c14:spPr>
              </c14:invertSolidFillFmt>
            </c:ext>
          </c:extLst>
          <c:cat>
            <c:strRef>
              <c:f>'Summary Data'!$S$193:$X$193</c:f>
              <c:strCache/>
            </c:strRef>
          </c:cat>
          <c:val>
            <c:numRef>
              <c:f>'Summary Data'!$S$200:$X$200</c:f>
              <c:numCache>
                <c:ptCount val="6"/>
                <c:pt idx="0">
                  <c:v>0</c:v>
                </c:pt>
                <c:pt idx="1">
                  <c:v>0</c:v>
                </c:pt>
                <c:pt idx="2">
                  <c:v>0</c:v>
                </c:pt>
                <c:pt idx="3">
                  <c:v>0</c:v>
                </c:pt>
                <c:pt idx="4">
                  <c:v>0</c:v>
                </c:pt>
                <c:pt idx="5">
                  <c:v>0</c:v>
                </c:pt>
              </c:numCache>
            </c:numRef>
          </c:val>
        </c:ser>
        <c:ser>
          <c:idx val="8"/>
          <c:order val="7"/>
          <c:tx>
            <c:strRef>
              <c:f>'Summary Data'!$R$201</c:f>
              <c:strCache>
                <c:ptCount val="1"/>
                <c:pt idx="0">
                  <c:v>Agriculture</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Data'!$S$201:$X$201</c:f>
              <c:numCache>
                <c:ptCount val="6"/>
                <c:pt idx="0">
                  <c:v>0</c:v>
                </c:pt>
                <c:pt idx="1">
                  <c:v>0</c:v>
                </c:pt>
                <c:pt idx="2">
                  <c:v>0</c:v>
                </c:pt>
                <c:pt idx="3">
                  <c:v>0</c:v>
                </c:pt>
                <c:pt idx="4">
                  <c:v>0</c:v>
                </c:pt>
                <c:pt idx="5">
                  <c:v>0</c:v>
                </c:pt>
              </c:numCache>
            </c:numRef>
          </c:val>
        </c:ser>
        <c:ser>
          <c:idx val="9"/>
          <c:order val="8"/>
          <c:tx>
            <c:strRef>
              <c:f>'Summary Data'!$R$202</c:f>
              <c:strCache>
                <c:ptCount val="1"/>
                <c:pt idx="0">
                  <c:v>Waste water treatment</c:v>
                </c:pt>
              </c:strCache>
            </c:strRef>
          </c:tx>
          <c:extLst>
            <c:ext xmlns:c14="http://schemas.microsoft.com/office/drawing/2007/8/2/chart" uri="{6F2FDCE9-48DA-4B69-8628-5D25D57E5C99}">
              <c14:invertSolidFillFmt>
                <c14:spPr>
                  <a:solidFill>
                    <a:srgbClr val="000000"/>
                  </a:solidFill>
                </c14:spPr>
              </c14:invertSolidFillFmt>
            </c:ext>
          </c:extLst>
          <c:cat>
            <c:strRef>
              <c:f>'Summary Data'!$S$193:$X$193</c:f>
              <c:strCache/>
            </c:strRef>
          </c:cat>
          <c:val>
            <c:numRef>
              <c:f>'Summary Data'!$S$202:$X$202</c:f>
              <c:numCache>
                <c:ptCount val="6"/>
                <c:pt idx="0">
                  <c:v>0</c:v>
                </c:pt>
                <c:pt idx="1">
                  <c:v>0</c:v>
                </c:pt>
                <c:pt idx="2">
                  <c:v>0</c:v>
                </c:pt>
                <c:pt idx="3">
                  <c:v>0</c:v>
                </c:pt>
                <c:pt idx="4">
                  <c:v>0</c:v>
                </c:pt>
                <c:pt idx="5">
                  <c:v>0</c:v>
                </c:pt>
              </c:numCache>
            </c:numRef>
          </c:val>
        </c:ser>
        <c:ser>
          <c:idx val="10"/>
          <c:order val="9"/>
          <c:tx>
            <c:strRef>
              <c:f>'Summary Data'!$R$203</c:f>
              <c:strCache>
                <c:ptCount val="1"/>
                <c:pt idx="0">
                  <c:v>HFCs &amp; PFCs &amp; SF6</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Data'!$S$203:$X$203</c:f>
              <c:numCache>
                <c:ptCount val="6"/>
                <c:pt idx="0">
                  <c:v>0</c:v>
                </c:pt>
                <c:pt idx="1">
                  <c:v>0</c:v>
                </c:pt>
                <c:pt idx="2">
                  <c:v>0</c:v>
                </c:pt>
                <c:pt idx="3">
                  <c:v>0</c:v>
                </c:pt>
                <c:pt idx="4">
                  <c:v>0</c:v>
                </c:pt>
                <c:pt idx="5">
                  <c:v>0</c:v>
                </c:pt>
              </c:numCache>
            </c:numRef>
          </c:val>
        </c:ser>
        <c:axId val="58342813"/>
        <c:axId val="55323270"/>
      </c:areaChart>
      <c:catAx>
        <c:axId val="58342813"/>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55323270"/>
        <c:crosses val="autoZero"/>
        <c:auto val="1"/>
        <c:lblOffset val="100"/>
        <c:noMultiLvlLbl val="0"/>
      </c:catAx>
      <c:valAx>
        <c:axId val="55323270"/>
        <c:scaling>
          <c:orientation val="minMax"/>
        </c:scaling>
        <c:axPos val="l"/>
        <c:title>
          <c:tx>
            <c:rich>
              <a:bodyPr vert="horz" rot="-5400000" anchor="ctr"/>
              <a:lstStyle/>
              <a:p>
                <a:pPr algn="ctr">
                  <a:defRPr/>
                </a:pPr>
                <a:r>
                  <a:rPr lang="en-US" cap="none" sz="1100" b="0" i="0" u="none" baseline="0">
                    <a:latin typeface="Arial"/>
                    <a:ea typeface="Arial"/>
                    <a:cs typeface="Arial"/>
                  </a:rPr>
                  <a:t>Tonnes CO2 equivalents</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8342813"/>
        <c:crossesAt val="1"/>
        <c:crossBetween val="midCat"/>
        <c:dispUnits/>
      </c:valAx>
      <c:spPr>
        <a:gradFill rotWithShape="1">
          <a:gsLst>
            <a:gs pos="0">
              <a:srgbClr val="F5F5F5"/>
            </a:gs>
            <a:gs pos="100000">
              <a:srgbClr val="C0C0C0"/>
            </a:gs>
          </a:gsLst>
          <a:lin ang="5400000" scaled="1"/>
        </a:gradFill>
        <a:ln w="12700">
          <a:solidFill>
            <a:srgbClr val="969696"/>
          </a:solidFill>
        </a:ln>
      </c:spPr>
    </c:plotArea>
    <c:legend>
      <c:legendPos val="r"/>
      <c:layout>
        <c:manualLayout>
          <c:xMode val="edge"/>
          <c:yMode val="edge"/>
          <c:x val="0.74825"/>
          <c:y val="0.04925"/>
          <c:w val="0.24125"/>
          <c:h val="0.91175"/>
        </c:manualLayout>
      </c:layout>
      <c:overlay val="0"/>
      <c:spPr>
        <a:ln w="3175">
          <a:noFill/>
        </a:ln>
      </c:spPr>
    </c:legend>
    <c:plotVisOnly val="1"/>
    <c:dispBlanksAs val="gap"/>
    <c:showDLblsOverMax val="0"/>
  </c:chart>
  <c:spPr>
    <a:ln w="3175">
      <a:solid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9"/>
          <c:y val="0.00175"/>
          <c:w val="0.7075"/>
          <c:h val="0.95375"/>
        </c:manualLayout>
      </c:layout>
      <c:areaChart>
        <c:grouping val="stacked"/>
        <c:varyColors val="0"/>
        <c:ser>
          <c:idx val="0"/>
          <c:order val="0"/>
          <c:tx>
            <c:strRef>
              <c:f>'Summary Data'!$C$94</c:f>
              <c:strCache>
                <c:ptCount val="1"/>
                <c:pt idx="0">
                  <c:v>Power generation</c:v>
                </c:pt>
              </c:strCache>
            </c:strRef>
          </c:tx>
          <c:spPr>
            <a:solidFill>
              <a:srgbClr val="000000"/>
            </a:solidFill>
          </c:spPr>
          <c:extLst>
            <c:ext xmlns:c14="http://schemas.microsoft.com/office/drawing/2007/8/2/chart" uri="{6F2FDCE9-48DA-4B69-8628-5D25D57E5C99}">
              <c14:invertSolidFillFmt>
                <c14:spPr>
                  <a:solidFill>
                    <a:srgbClr val="800080"/>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Data'!$D$94:$W$94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'Summary Data'!$C$95</c:f>
              <c:strCache>
                <c:ptCount val="1"/>
                <c:pt idx="0">
                  <c:v>Industrial combustion</c:v>
                </c:pt>
              </c:strCache>
            </c:strRef>
          </c:tx>
          <c:spPr>
            <a:solidFill>
              <a:srgbClr val="800000"/>
            </a:solidFill>
            <a:ln w="3175">
              <a:noFill/>
            </a:ln>
          </c:spPr>
          <c:extLst>
            <c:ext xmlns:c14="http://schemas.microsoft.com/office/drawing/2007/8/2/chart" uri="{6F2FDCE9-48DA-4B69-8628-5D25D57E5C99}">
              <c14:invertSolidFillFmt>
                <c14:spPr>
                  <a:solidFill>
                    <a:srgbClr val="800080"/>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Data'!$D$95:$W$95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'Summary Data'!$C$96</c:f>
              <c:strCache>
                <c:ptCount val="1"/>
                <c:pt idx="0">
                  <c:v>Aviation</c:v>
                </c:pt>
              </c:strCache>
            </c:strRef>
          </c:tx>
          <c:spPr>
            <a:solidFill>
              <a:srgbClr val="FF0000"/>
            </a:solidFill>
            <a:ln w="3175">
              <a:noFill/>
            </a:ln>
          </c:spPr>
          <c:extLst>
            <c:ext xmlns:c14="http://schemas.microsoft.com/office/drawing/2007/8/2/chart" uri="{6F2FDCE9-48DA-4B69-8628-5D25D57E5C99}">
              <c14:invertSolidFillFmt>
                <c14:spPr>
                  <a:solidFill>
                    <a:srgbClr val="800080"/>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Data'!$D$96:$W$96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'Summary Data'!$C$97</c:f>
              <c:strCache>
                <c:ptCount val="1"/>
                <c:pt idx="0">
                  <c:v>Road transport</c:v>
                </c:pt>
              </c:strCache>
            </c:strRef>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Data'!$D$97:$W$97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4"/>
          <c:order val="4"/>
          <c:tx>
            <c:strRef>
              <c:f>'Summary Data'!$C$98</c:f>
              <c:strCache>
                <c:ptCount val="1"/>
                <c:pt idx="0">
                  <c:v>Commercial sector </c:v>
                </c:pt>
              </c:strCache>
            </c:strRef>
          </c:tx>
          <c:spPr>
            <a:solidFill>
              <a:srgbClr val="FF9900"/>
            </a:solidFill>
            <a:ln w="3175">
              <a:noFill/>
            </a:ln>
          </c:spPr>
          <c:extLst>
            <c:ext xmlns:c14="http://schemas.microsoft.com/office/drawing/2007/8/2/chart" uri="{6F2FDCE9-48DA-4B69-8628-5D25D57E5C99}">
              <c14:invertSolidFillFmt>
                <c14:spPr>
                  <a:solidFill>
                    <a:srgbClr val="FFFFFF"/>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Data'!$D$98:$W$98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5"/>
          <c:order val="5"/>
          <c:tx>
            <c:strRef>
              <c:f>'Summary Data'!$C$99</c:f>
              <c:strCache>
                <c:ptCount val="1"/>
                <c:pt idx="0">
                  <c:v>Domestic</c:v>
                </c:pt>
              </c:strCache>
            </c:strRef>
          </c:tx>
          <c:spPr>
            <a:solidFill>
              <a:srgbClr val="FFCC99"/>
            </a:solidFill>
            <a:ln w="3175">
              <a:noFill/>
            </a:ln>
          </c:spPr>
          <c:extLst>
            <c:ext xmlns:c14="http://schemas.microsoft.com/office/drawing/2007/8/2/chart" uri="{6F2FDCE9-48DA-4B69-8628-5D25D57E5C99}">
              <c14:invertSolidFillFmt>
                <c14:spPr>
                  <a:solidFill>
                    <a:srgbClr val="FFFFFF"/>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Data'!$D$99:$W$99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6"/>
          <c:order val="6"/>
          <c:tx>
            <c:strRef>
              <c:f>'Summary Data'!$C$100</c:f>
              <c:strCache>
                <c:ptCount val="1"/>
                <c:pt idx="0">
                  <c:v>Land use, land use change &amp; forestry</c:v>
                </c:pt>
              </c:strCache>
            </c:strRef>
          </c:tx>
          <c:extLst>
            <c:ext xmlns:c14="http://schemas.microsoft.com/office/drawing/2007/8/2/chart" uri="{6F2FDCE9-48DA-4B69-8628-5D25D57E5C99}">
              <c14:invertSolidFillFmt>
                <c14:spPr>
                  <a:solidFill>
                    <a:srgbClr val="000000"/>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Data'!$D$100:$W$100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7"/>
          <c:order val="7"/>
          <c:tx>
            <c:strRef>
              <c:f>'Summary Data'!$C$101</c:f>
              <c:strCache>
                <c:ptCount val="1"/>
                <c:pt idx="0">
                  <c:v>Agriculture</c:v>
                </c:pt>
              </c:strCache>
            </c:strRef>
          </c:tx>
          <c:spPr>
            <a:solidFill>
              <a:srgbClr val="FFFF00"/>
            </a:solidFill>
            <a:ln w="12700">
              <a:solidFill>
                <a:srgbClr val="C0C0C0"/>
              </a:solidFill>
            </a:ln>
          </c:spPr>
          <c:extLst>
            <c:ext xmlns:c14="http://schemas.microsoft.com/office/drawing/2007/8/2/chart" uri="{6F2FDCE9-48DA-4B69-8628-5D25D57E5C99}">
              <c14:invertSolidFillFmt>
                <c14:spPr>
                  <a:solidFill>
                    <a:srgbClr val="FFFFFF"/>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Data'!$D$101:$W$101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8"/>
          <c:order val="8"/>
          <c:tx>
            <c:strRef>
              <c:f>'Summary Data'!$C$102</c:f>
              <c:strCache>
                <c:ptCount val="1"/>
                <c:pt idx="0">
                  <c:v>Waste water treatment</c:v>
                </c:pt>
              </c:strCache>
            </c:strRef>
          </c:tx>
          <c:extLst>
            <c:ext xmlns:c14="http://schemas.microsoft.com/office/drawing/2007/8/2/chart" uri="{6F2FDCE9-48DA-4B69-8628-5D25D57E5C99}">
              <c14:invertSolidFillFmt>
                <c14:spPr>
                  <a:solidFill>
                    <a:srgbClr val="000000"/>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Data'!$D$102:$W$102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9"/>
          <c:order val="9"/>
          <c:tx>
            <c:strRef>
              <c:f>'Summary Data'!$C$103</c:f>
              <c:strCache>
                <c:ptCount val="1"/>
                <c:pt idx="0">
                  <c:v>HFCs &amp; PFCs &amp; SF6</c:v>
                </c:pt>
              </c:strCache>
            </c:strRef>
          </c:tx>
          <c:spPr>
            <a:solidFill>
              <a:srgbClr val="FFFFCC"/>
            </a:solidFill>
            <a:ln w="3175">
              <a:solidFill>
                <a:srgbClr val="C0C0C0"/>
              </a:solidFill>
            </a:ln>
          </c:spPr>
          <c:extLst>
            <c:ext xmlns:c14="http://schemas.microsoft.com/office/drawing/2007/8/2/chart" uri="{6F2FDCE9-48DA-4B69-8628-5D25D57E5C99}">
              <c14:invertSolidFillFmt>
                <c14:spPr>
                  <a:solidFill>
                    <a:srgbClr val="FFFFFF"/>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Data'!$D$103:$W$103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28147383"/>
        <c:axId val="51999856"/>
      </c:areaChart>
      <c:catAx>
        <c:axId val="28147383"/>
        <c:scaling>
          <c:orientation val="minMax"/>
        </c:scaling>
        <c:axPos val="b"/>
        <c:title>
          <c:tx>
            <c:rich>
              <a:bodyPr vert="horz" rot="0" anchor="ctr"/>
              <a:lstStyle/>
              <a:p>
                <a:pPr algn="ctr">
                  <a:defRPr/>
                </a:pPr>
                <a:r>
                  <a:rPr lang="en-US" cap="none" sz="11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1999856"/>
        <c:crosses val="autoZero"/>
        <c:auto val="1"/>
        <c:lblOffset val="100"/>
        <c:noMultiLvlLbl val="0"/>
      </c:catAx>
      <c:valAx>
        <c:axId val="51999856"/>
        <c:scaling>
          <c:orientation val="minMax"/>
        </c:scaling>
        <c:axPos val="l"/>
        <c:title>
          <c:tx>
            <c:rich>
              <a:bodyPr vert="horz" rot="-5400000" anchor="ctr"/>
              <a:lstStyle/>
              <a:p>
                <a:pPr algn="ctr">
                  <a:defRPr/>
                </a:pPr>
                <a:r>
                  <a:rPr lang="en-US" cap="none" sz="1100" b="0" i="0" u="none" baseline="0">
                    <a:latin typeface="Arial"/>
                    <a:ea typeface="Arial"/>
                    <a:cs typeface="Arial"/>
                  </a:rPr>
                  <a:t>Tonnes of CO2 equivalents</a:t>
                </a:r>
              </a:p>
            </c:rich>
          </c:tx>
          <c:layout>
            <c:manualLayout>
              <c:xMode val="factor"/>
              <c:yMode val="factor"/>
              <c:x val="-0.0045"/>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8147383"/>
        <c:crossesAt val="1"/>
        <c:crossBetween val="midCat"/>
        <c:dispUnits/>
      </c:valAx>
      <c:spPr>
        <a:gradFill rotWithShape="1">
          <a:gsLst>
            <a:gs pos="0">
              <a:srgbClr val="F9F9F9"/>
            </a:gs>
            <a:gs pos="100000">
              <a:srgbClr val="C0C0C0"/>
            </a:gs>
          </a:gsLst>
          <a:lin ang="5400000" scaled="1"/>
        </a:gradFill>
        <a:ln w="12700">
          <a:solidFill>
            <a:srgbClr val="808080"/>
          </a:solidFill>
        </a:ln>
      </c:spPr>
    </c:plotArea>
    <c:legend>
      <c:legendPos val="r"/>
      <c:layout>
        <c:manualLayout>
          <c:xMode val="edge"/>
          <c:yMode val="edge"/>
          <c:x val="0.76925"/>
          <c:y val="0.17675"/>
          <c:w val="0.2285"/>
          <c:h val="0.6"/>
        </c:manualLayout>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spPr>
    <a:ln w="3175">
      <a:solidFill>
        <a:srgbClr val="FF9900"/>
      </a:solid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825"/>
          <c:y val="0.02175"/>
          <c:w val="0.68225"/>
          <c:h val="0.891"/>
        </c:manualLayout>
      </c:layout>
      <c:lineChart>
        <c:grouping val="standard"/>
        <c:varyColors val="0"/>
        <c:ser>
          <c:idx val="0"/>
          <c:order val="0"/>
          <c:tx>
            <c:v>Emissions based on a Business as usual scenario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numRef>
              <c:f>Agriculture!$D$28:$H$28</c:f>
              <c:numCache>
                <c:ptCount val="5"/>
                <c:pt idx="0">
                  <c:v>0</c:v>
                </c:pt>
                <c:pt idx="1">
                  <c:v>0</c:v>
                </c:pt>
                <c:pt idx="2">
                  <c:v>0</c:v>
                </c:pt>
                <c:pt idx="3">
                  <c:v>0</c:v>
                </c:pt>
                <c:pt idx="4">
                  <c:v>0</c:v>
                </c:pt>
              </c:numCache>
            </c:numRef>
          </c:cat>
          <c:val>
            <c:numRef>
              <c:f>Agriculture!$D$29:$H$29</c:f>
              <c:numCache>
                <c:ptCount val="5"/>
                <c:pt idx="0">
                  <c:v>0</c:v>
                </c:pt>
                <c:pt idx="1">
                  <c:v>0</c:v>
                </c:pt>
                <c:pt idx="2">
                  <c:v>0</c:v>
                </c:pt>
                <c:pt idx="3">
                  <c:v>0</c:v>
                </c:pt>
                <c:pt idx="4">
                  <c:v>0</c:v>
                </c:pt>
              </c:numCache>
            </c:numRef>
          </c:val>
          <c:smooth val="0"/>
        </c:ser>
        <c:ser>
          <c:idx val="1"/>
          <c:order val="1"/>
          <c:tx>
            <c:v>Emissions remaining after interventions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numRef>
              <c:f>Agriculture!$D$28:$H$28</c:f>
              <c:numCache>
                <c:ptCount val="5"/>
                <c:pt idx="0">
                  <c:v>0</c:v>
                </c:pt>
                <c:pt idx="1">
                  <c:v>0</c:v>
                </c:pt>
                <c:pt idx="2">
                  <c:v>0</c:v>
                </c:pt>
                <c:pt idx="3">
                  <c:v>0</c:v>
                </c:pt>
                <c:pt idx="4">
                  <c:v>0</c:v>
                </c:pt>
              </c:numCache>
            </c:numRef>
          </c:cat>
          <c:val>
            <c:numRef>
              <c:f>Agriculture!$D$32:$H$32</c:f>
              <c:numCache>
                <c:ptCount val="5"/>
                <c:pt idx="0">
                  <c:v>0</c:v>
                </c:pt>
                <c:pt idx="1">
                  <c:v>0</c:v>
                </c:pt>
                <c:pt idx="2">
                  <c:v>0</c:v>
                </c:pt>
                <c:pt idx="3">
                  <c:v>0</c:v>
                </c:pt>
                <c:pt idx="4">
                  <c:v>0</c:v>
                </c:pt>
              </c:numCache>
            </c:numRef>
          </c:val>
          <c:smooth val="0"/>
        </c:ser>
        <c:ser>
          <c:idx val="2"/>
          <c:order val="2"/>
          <c:tx>
            <c:v>2050 Kyoto target level of emissions</c:v>
          </c:tx>
          <c:spPr>
            <a:ln w="254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val>
            <c:numRef>
              <c:f>Agriculture!$I$30:$I$34</c:f>
              <c:numCache>
                <c:ptCount val="5"/>
                <c:pt idx="0">
                  <c:v>0</c:v>
                </c:pt>
                <c:pt idx="1">
                  <c:v>0</c:v>
                </c:pt>
                <c:pt idx="2">
                  <c:v>0</c:v>
                </c:pt>
                <c:pt idx="3">
                  <c:v>0</c:v>
                </c:pt>
                <c:pt idx="4">
                  <c:v>0</c:v>
                </c:pt>
              </c:numCache>
            </c:numRef>
          </c:val>
          <c:smooth val="0"/>
        </c:ser>
        <c:marker val="1"/>
        <c:axId val="65345521"/>
        <c:axId val="51238778"/>
      </c:lineChart>
      <c:catAx>
        <c:axId val="65345521"/>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out"/>
        <c:tickLblPos val="nextTo"/>
        <c:crossAx val="51238778"/>
        <c:crosses val="autoZero"/>
        <c:auto val="1"/>
        <c:lblOffset val="100"/>
        <c:noMultiLvlLbl val="0"/>
      </c:catAx>
      <c:valAx>
        <c:axId val="51238778"/>
        <c:scaling>
          <c:orientation val="minMax"/>
        </c:scaling>
        <c:axPos val="l"/>
        <c:title>
          <c:tx>
            <c:rich>
              <a:bodyPr vert="horz" rot="-5400000" anchor="ctr"/>
              <a:lstStyle/>
              <a:p>
                <a:pPr algn="ctr">
                  <a:defRPr/>
                </a:pPr>
                <a:r>
                  <a:rPr lang="en-US" cap="none" sz="1200" b="1" i="0" u="none" baseline="0">
                    <a:latin typeface="Arial"/>
                    <a:ea typeface="Arial"/>
                    <a:cs typeface="Arial"/>
                  </a:rPr>
                  <a:t>Tonnes of CO2 equivalents</a:t>
                </a:r>
              </a:p>
            </c:rich>
          </c:tx>
          <c:layout>
            <c:manualLayout>
              <c:xMode val="factor"/>
              <c:yMode val="factor"/>
              <c:x val="0.0005"/>
              <c:y val="-0.004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5345521"/>
        <c:crossesAt val="1"/>
        <c:crossBetween val="between"/>
        <c:dispUnits/>
      </c:valAx>
      <c:spPr>
        <a:solidFill>
          <a:srgbClr val="FFFFFF"/>
        </a:solidFill>
        <a:ln w="12700">
          <a:solidFill>
            <a:srgbClr val="808080"/>
          </a:solidFill>
        </a:ln>
      </c:spPr>
    </c:plotArea>
    <c:legend>
      <c:legendPos val="r"/>
      <c:layout>
        <c:manualLayout>
          <c:xMode val="edge"/>
          <c:yMode val="edge"/>
          <c:x val="0.73675"/>
          <c:y val="0.14375"/>
          <c:w val="0.26075"/>
          <c:h val="0.512"/>
        </c:manualLayout>
      </c:layout>
      <c:overlay val="0"/>
      <c:spPr>
        <a:ln w="3175">
          <a:noFill/>
        </a:ln>
      </c:sp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675"/>
          <c:y val="0.01125"/>
          <c:w val="0.717"/>
          <c:h val="0.942"/>
        </c:manualLayout>
      </c:layout>
      <c:lineChart>
        <c:grouping val="standard"/>
        <c:varyColors val="0"/>
        <c:ser>
          <c:idx val="0"/>
          <c:order val="0"/>
          <c:tx>
            <c:v>Emissions based on a Business as usual scenario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numRef>
              <c:f>Transport!$C$61:$G$61</c:f>
              <c:numCache>
                <c:ptCount val="5"/>
                <c:pt idx="0">
                  <c:v>0</c:v>
                </c:pt>
                <c:pt idx="1">
                  <c:v>0</c:v>
                </c:pt>
                <c:pt idx="2">
                  <c:v>0</c:v>
                </c:pt>
                <c:pt idx="3">
                  <c:v>0</c:v>
                </c:pt>
                <c:pt idx="4">
                  <c:v>0</c:v>
                </c:pt>
              </c:numCache>
            </c:numRef>
          </c:cat>
          <c:val>
            <c:numRef>
              <c:f>Transport!$C$62:$G$62</c:f>
              <c:numCache>
                <c:ptCount val="5"/>
                <c:pt idx="0">
                  <c:v>0</c:v>
                </c:pt>
                <c:pt idx="1">
                  <c:v>0</c:v>
                </c:pt>
                <c:pt idx="2">
                  <c:v>0</c:v>
                </c:pt>
                <c:pt idx="3">
                  <c:v>0</c:v>
                </c:pt>
                <c:pt idx="4">
                  <c:v>0</c:v>
                </c:pt>
              </c:numCache>
            </c:numRef>
          </c:val>
          <c:smooth val="0"/>
        </c:ser>
        <c:ser>
          <c:idx val="1"/>
          <c:order val="1"/>
          <c:tx>
            <c:v>Emissions remaining after interventions</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339966"/>
              </a:solidFill>
              <a:ln>
                <a:solidFill>
                  <a:srgbClr val="339966"/>
                </a:solidFill>
              </a:ln>
            </c:spPr>
          </c:marker>
          <c:cat>
            <c:numRef>
              <c:f>Transport!$C$61:$G$61</c:f>
              <c:numCache>
                <c:ptCount val="5"/>
                <c:pt idx="0">
                  <c:v>0</c:v>
                </c:pt>
                <c:pt idx="1">
                  <c:v>0</c:v>
                </c:pt>
                <c:pt idx="2">
                  <c:v>0</c:v>
                </c:pt>
                <c:pt idx="3">
                  <c:v>0</c:v>
                </c:pt>
                <c:pt idx="4">
                  <c:v>0</c:v>
                </c:pt>
              </c:numCache>
            </c:numRef>
          </c:cat>
          <c:val>
            <c:numRef>
              <c:f>Transport!$C$68:$G$68</c:f>
              <c:numCache>
                <c:ptCount val="5"/>
                <c:pt idx="0">
                  <c:v>0</c:v>
                </c:pt>
                <c:pt idx="1">
                  <c:v>0</c:v>
                </c:pt>
                <c:pt idx="2">
                  <c:v>0</c:v>
                </c:pt>
                <c:pt idx="3">
                  <c:v>0</c:v>
                </c:pt>
                <c:pt idx="4">
                  <c:v>0</c:v>
                </c:pt>
              </c:numCache>
            </c:numRef>
          </c:val>
          <c:smooth val="0"/>
        </c:ser>
        <c:ser>
          <c:idx val="2"/>
          <c:order val="2"/>
          <c:tx>
            <c:v>2050 Kyoto target level of emissions</c:v>
          </c:tx>
          <c:spPr>
            <a:ln w="254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Transport!$C$61:$G$61</c:f>
              <c:numCache>
                <c:ptCount val="5"/>
                <c:pt idx="0">
                  <c:v>0</c:v>
                </c:pt>
                <c:pt idx="1">
                  <c:v>0</c:v>
                </c:pt>
                <c:pt idx="2">
                  <c:v>0</c:v>
                </c:pt>
                <c:pt idx="3">
                  <c:v>0</c:v>
                </c:pt>
                <c:pt idx="4">
                  <c:v>0</c:v>
                </c:pt>
              </c:numCache>
            </c:numRef>
          </c:cat>
          <c:val>
            <c:numRef>
              <c:f>Transport!$H$63:$H$67</c:f>
              <c:numCache>
                <c:ptCount val="5"/>
                <c:pt idx="0">
                  <c:v>0</c:v>
                </c:pt>
                <c:pt idx="1">
                  <c:v>0</c:v>
                </c:pt>
                <c:pt idx="2">
                  <c:v>0</c:v>
                </c:pt>
                <c:pt idx="3">
                  <c:v>0</c:v>
                </c:pt>
                <c:pt idx="4">
                  <c:v>0</c:v>
                </c:pt>
              </c:numCache>
            </c:numRef>
          </c:val>
          <c:smooth val="0"/>
        </c:ser>
        <c:marker val="1"/>
        <c:axId val="58495819"/>
        <c:axId val="56700324"/>
      </c:lineChart>
      <c:catAx>
        <c:axId val="58495819"/>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out"/>
        <c:tickLblPos val="nextTo"/>
        <c:crossAx val="56700324"/>
        <c:crosses val="autoZero"/>
        <c:auto val="1"/>
        <c:lblOffset val="100"/>
        <c:noMultiLvlLbl val="0"/>
      </c:catAx>
      <c:valAx>
        <c:axId val="56700324"/>
        <c:scaling>
          <c:orientation val="minMax"/>
        </c:scaling>
        <c:axPos val="l"/>
        <c:title>
          <c:tx>
            <c:rich>
              <a:bodyPr vert="horz" rot="-5400000" anchor="ctr"/>
              <a:lstStyle/>
              <a:p>
                <a:pPr algn="ctr">
                  <a:defRPr/>
                </a:pPr>
                <a:r>
                  <a:rPr lang="en-US" cap="none" sz="1000" b="0" i="0" u="none" baseline="0">
                    <a:latin typeface="Arial"/>
                    <a:ea typeface="Arial"/>
                    <a:cs typeface="Arial"/>
                  </a:rPr>
                  <a:t>Tonnes of CO2 equivalents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8495819"/>
        <c:crossesAt val="1"/>
        <c:crossBetween val="between"/>
        <c:dispUnits/>
      </c:valAx>
      <c:spPr>
        <a:solidFill>
          <a:srgbClr val="FFFFFF"/>
        </a:solidFill>
        <a:ln w="12700">
          <a:solidFill>
            <a:srgbClr val="808080"/>
          </a:solidFill>
        </a:ln>
      </c:spPr>
    </c:plotArea>
    <c:legend>
      <c:legendPos val="r"/>
      <c:layout>
        <c:manualLayout>
          <c:xMode val="edge"/>
          <c:yMode val="edge"/>
          <c:x val="0.75375"/>
          <c:y val="0.1425"/>
          <c:w val="0.23975"/>
          <c:h val="0.648"/>
        </c:manualLayout>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5"/>
          <c:y val="0.02275"/>
          <c:w val="0.7015"/>
          <c:h val="0.89275"/>
        </c:manualLayout>
      </c:layout>
      <c:lineChart>
        <c:grouping val="standard"/>
        <c:varyColors val="0"/>
        <c:ser>
          <c:idx val="0"/>
          <c:order val="0"/>
          <c:tx>
            <c:v>Emissions based on a Business as Usual scenario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numRef>
              <c:f>Domestic!$D$101:$H$101</c:f>
              <c:numCache>
                <c:ptCount val="5"/>
                <c:pt idx="0">
                  <c:v>0</c:v>
                </c:pt>
                <c:pt idx="1">
                  <c:v>0</c:v>
                </c:pt>
                <c:pt idx="2">
                  <c:v>0</c:v>
                </c:pt>
                <c:pt idx="3">
                  <c:v>0</c:v>
                </c:pt>
                <c:pt idx="4">
                  <c:v>0</c:v>
                </c:pt>
              </c:numCache>
            </c:numRef>
          </c:cat>
          <c:val>
            <c:numRef>
              <c:f>Domestic!$D$102:$H$102</c:f>
              <c:numCache>
                <c:ptCount val="5"/>
                <c:pt idx="0">
                  <c:v>0</c:v>
                </c:pt>
                <c:pt idx="1">
                  <c:v>0</c:v>
                </c:pt>
                <c:pt idx="2">
                  <c:v>0</c:v>
                </c:pt>
                <c:pt idx="3">
                  <c:v>0</c:v>
                </c:pt>
                <c:pt idx="4">
                  <c:v>0</c:v>
                </c:pt>
              </c:numCache>
            </c:numRef>
          </c:val>
          <c:smooth val="0"/>
        </c:ser>
        <c:ser>
          <c:idx val="1"/>
          <c:order val="1"/>
          <c:tx>
            <c:v>Emissions remaining after interventions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numRef>
              <c:f>Domestic!$D$101:$H$101</c:f>
              <c:numCache>
                <c:ptCount val="5"/>
                <c:pt idx="0">
                  <c:v>0</c:v>
                </c:pt>
                <c:pt idx="1">
                  <c:v>0</c:v>
                </c:pt>
                <c:pt idx="2">
                  <c:v>0</c:v>
                </c:pt>
                <c:pt idx="3">
                  <c:v>0</c:v>
                </c:pt>
                <c:pt idx="4">
                  <c:v>0</c:v>
                </c:pt>
              </c:numCache>
            </c:numRef>
          </c:cat>
          <c:val>
            <c:numRef>
              <c:f>Domestic!$D$107:$H$107</c:f>
              <c:numCache>
                <c:ptCount val="5"/>
                <c:pt idx="0">
                  <c:v>0</c:v>
                </c:pt>
                <c:pt idx="1">
                  <c:v>0</c:v>
                </c:pt>
                <c:pt idx="2">
                  <c:v>0</c:v>
                </c:pt>
                <c:pt idx="3">
                  <c:v>0</c:v>
                </c:pt>
                <c:pt idx="4">
                  <c:v>0</c:v>
                </c:pt>
              </c:numCache>
            </c:numRef>
          </c:val>
          <c:smooth val="0"/>
        </c:ser>
        <c:ser>
          <c:idx val="2"/>
          <c:order val="2"/>
          <c:tx>
            <c:v>2050 Kyoto target level of emissions</c:v>
          </c:tx>
          <c:spPr>
            <a:ln w="127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6600"/>
              </a:solidFill>
              <a:ln>
                <a:solidFill>
                  <a:srgbClr val="FF6600"/>
                </a:solidFill>
              </a:ln>
            </c:spPr>
          </c:marker>
          <c:cat>
            <c:numRef>
              <c:f>Domestic!$D$101:$H$101</c:f>
              <c:numCache>
                <c:ptCount val="5"/>
                <c:pt idx="0">
                  <c:v>0</c:v>
                </c:pt>
                <c:pt idx="1">
                  <c:v>0</c:v>
                </c:pt>
                <c:pt idx="2">
                  <c:v>0</c:v>
                </c:pt>
                <c:pt idx="3">
                  <c:v>0</c:v>
                </c:pt>
                <c:pt idx="4">
                  <c:v>0</c:v>
                </c:pt>
              </c:numCache>
            </c:numRef>
          </c:cat>
          <c:val>
            <c:numRef>
              <c:f>Domestic!$I$102:$I$106</c:f>
              <c:numCache>
                <c:ptCount val="5"/>
                <c:pt idx="0">
                  <c:v>0</c:v>
                </c:pt>
                <c:pt idx="1">
                  <c:v>0</c:v>
                </c:pt>
                <c:pt idx="2">
                  <c:v>0</c:v>
                </c:pt>
                <c:pt idx="3">
                  <c:v>0</c:v>
                </c:pt>
                <c:pt idx="4">
                  <c:v>0</c:v>
                </c:pt>
              </c:numCache>
            </c:numRef>
          </c:val>
          <c:smooth val="0"/>
        </c:ser>
        <c:marker val="1"/>
        <c:axId val="40540869"/>
        <c:axId val="29323502"/>
      </c:lineChart>
      <c:catAx>
        <c:axId val="40540869"/>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out"/>
        <c:tickLblPos val="nextTo"/>
        <c:crossAx val="29323502"/>
        <c:crosses val="autoZero"/>
        <c:auto val="1"/>
        <c:lblOffset val="100"/>
        <c:noMultiLvlLbl val="0"/>
      </c:catAx>
      <c:valAx>
        <c:axId val="29323502"/>
        <c:scaling>
          <c:orientation val="minMax"/>
        </c:scaling>
        <c:axPos val="l"/>
        <c:title>
          <c:tx>
            <c:rich>
              <a:bodyPr vert="horz" rot="-5400000" anchor="ctr"/>
              <a:lstStyle/>
              <a:p>
                <a:pPr algn="ctr">
                  <a:defRPr/>
                </a:pPr>
                <a:r>
                  <a:rPr lang="en-US"/>
                  <a:t>Tonnes of CO2 equivalents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0540869"/>
        <c:crossesAt val="1"/>
        <c:crossBetween val="between"/>
        <c:dispUnits/>
      </c:valAx>
      <c:spPr>
        <a:solidFill>
          <a:srgbClr val="FFFFFF"/>
        </a:solidFill>
        <a:ln w="12700">
          <a:solidFill>
            <a:srgbClr val="808080"/>
          </a:solidFill>
        </a:ln>
      </c:spPr>
    </c:plotArea>
    <c:legend>
      <c:legendPos val="r"/>
      <c:layout>
        <c:manualLayout>
          <c:xMode val="edge"/>
          <c:yMode val="edge"/>
          <c:x val="0.75175"/>
          <c:y val="0.18025"/>
          <c:w val="0.225"/>
          <c:h val="0.51825"/>
        </c:manualLayout>
      </c:layout>
      <c:overlay val="0"/>
      <c:spPr>
        <a:ln w="3175">
          <a:noFill/>
        </a:ln>
      </c:spPr>
    </c:legend>
    <c:plotVisOnly val="1"/>
    <c:dispBlanksAs val="gap"/>
    <c:showDLblsOverMax val="0"/>
  </c:chart>
  <c:spPr>
    <a:solidFill>
      <a:srgbClr val="FFFFFF"/>
    </a:solidFill>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875"/>
          <c:y val="0.01975"/>
          <c:w val="0.691"/>
          <c:h val="0.903"/>
        </c:manualLayout>
      </c:layout>
      <c:lineChart>
        <c:grouping val="standard"/>
        <c:varyColors val="0"/>
        <c:ser>
          <c:idx val="0"/>
          <c:order val="0"/>
          <c:tx>
            <c:v>Emissions based on a Business as Usual scenario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numRef>
              <c:f>'Industry &amp; Commercial(inc SoJ)'!$D$68:$H$68</c:f>
              <c:numCache/>
            </c:numRef>
          </c:cat>
          <c:val>
            <c:numRef>
              <c:f>'Industry &amp; Commercial(inc SoJ)'!$D$69:$H$69</c:f>
              <c:numCache/>
            </c:numRef>
          </c:val>
          <c:smooth val="0"/>
        </c:ser>
        <c:ser>
          <c:idx val="1"/>
          <c:order val="1"/>
          <c:tx>
            <c:v>Emissions remaining after interventions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numRef>
              <c:f>'Industry &amp; Commercial(inc SoJ)'!$D$68:$H$68</c:f>
              <c:numCache/>
            </c:numRef>
          </c:cat>
          <c:val>
            <c:numRef>
              <c:f>'Industry &amp; Commercial(inc SoJ)'!$D$72:$H$72</c:f>
              <c:numCache/>
            </c:numRef>
          </c:val>
          <c:smooth val="0"/>
        </c:ser>
        <c:ser>
          <c:idx val="2"/>
          <c:order val="2"/>
          <c:tx>
            <c:v>2050 Kyoto target level of emissions</c:v>
          </c:tx>
          <c:spPr>
            <a:ln w="254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6600"/>
              </a:solidFill>
              <a:ln>
                <a:solidFill>
                  <a:srgbClr val="FF6600"/>
                </a:solidFill>
              </a:ln>
            </c:spPr>
          </c:marker>
          <c:val>
            <c:numRef>
              <c:f>'Industry &amp; Commercial(inc SoJ)'!$I$69:$I$73</c:f>
              <c:numCache/>
            </c:numRef>
          </c:val>
          <c:smooth val="0"/>
        </c:ser>
        <c:marker val="1"/>
        <c:axId val="62584927"/>
        <c:axId val="26393432"/>
      </c:lineChart>
      <c:catAx>
        <c:axId val="62584927"/>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out"/>
        <c:tickLblPos val="nextTo"/>
        <c:crossAx val="26393432"/>
        <c:crosses val="autoZero"/>
        <c:auto val="1"/>
        <c:lblOffset val="100"/>
        <c:noMultiLvlLbl val="0"/>
      </c:catAx>
      <c:valAx>
        <c:axId val="26393432"/>
        <c:scaling>
          <c:orientation val="minMax"/>
        </c:scaling>
        <c:axPos val="l"/>
        <c:title>
          <c:tx>
            <c:rich>
              <a:bodyPr vert="horz" rot="-5400000" anchor="ctr"/>
              <a:lstStyle/>
              <a:p>
                <a:pPr algn="ctr">
                  <a:defRPr/>
                </a:pPr>
                <a:r>
                  <a:rPr lang="en-US" cap="none" sz="1200" b="1" i="0" u="none" baseline="0">
                    <a:latin typeface="Arial"/>
                    <a:ea typeface="Arial"/>
                    <a:cs typeface="Arial"/>
                  </a:rPr>
                  <a:t>Tonnes of CO2 equivalents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2584927"/>
        <c:crossesAt val="1"/>
        <c:crossBetween val="between"/>
        <c:dispUnits/>
      </c:valAx>
      <c:spPr>
        <a:noFill/>
      </c:spPr>
    </c:plotArea>
    <c:legend>
      <c:legendPos val="r"/>
      <c:layout>
        <c:manualLayout>
          <c:xMode val="edge"/>
          <c:yMode val="edge"/>
          <c:x val="0.74625"/>
          <c:y val="0.18625"/>
          <c:w val="0.23375"/>
          <c:h val="0.457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590550</xdr:colOff>
      <xdr:row>47</xdr:row>
      <xdr:rowOff>9525</xdr:rowOff>
    </xdr:from>
    <xdr:to>
      <xdr:col>41</xdr:col>
      <xdr:colOff>581025</xdr:colOff>
      <xdr:row>82</xdr:row>
      <xdr:rowOff>38100</xdr:rowOff>
    </xdr:to>
    <xdr:graphicFrame>
      <xdr:nvGraphicFramePr>
        <xdr:cNvPr id="1" name="Chart 42"/>
        <xdr:cNvGraphicFramePr/>
      </xdr:nvGraphicFramePr>
      <xdr:xfrm>
        <a:off x="25869900" y="7962900"/>
        <a:ext cx="8524875" cy="5953125"/>
      </xdr:xfrm>
      <a:graphic>
        <a:graphicData uri="http://schemas.openxmlformats.org/drawingml/2006/chart">
          <c:chart xmlns:c="http://schemas.openxmlformats.org/drawingml/2006/chart" r:id="rId1"/>
        </a:graphicData>
      </a:graphic>
    </xdr:graphicFrame>
    <xdr:clientData/>
  </xdr:twoCellAnchor>
  <xdr:twoCellAnchor>
    <xdr:from>
      <xdr:col>1</xdr:col>
      <xdr:colOff>495300</xdr:colOff>
      <xdr:row>125</xdr:row>
      <xdr:rowOff>28575</xdr:rowOff>
    </xdr:from>
    <xdr:to>
      <xdr:col>9</xdr:col>
      <xdr:colOff>485775</xdr:colOff>
      <xdr:row>160</xdr:row>
      <xdr:rowOff>0</xdr:rowOff>
    </xdr:to>
    <xdr:graphicFrame>
      <xdr:nvGraphicFramePr>
        <xdr:cNvPr id="2" name="Chart 43"/>
        <xdr:cNvGraphicFramePr/>
      </xdr:nvGraphicFramePr>
      <xdr:xfrm>
        <a:off x="1990725" y="21812250"/>
        <a:ext cx="7496175" cy="6686550"/>
      </xdr:xfrm>
      <a:graphic>
        <a:graphicData uri="http://schemas.openxmlformats.org/drawingml/2006/chart">
          <c:chart xmlns:c="http://schemas.openxmlformats.org/drawingml/2006/chart" r:id="rId2"/>
        </a:graphicData>
      </a:graphic>
    </xdr:graphicFrame>
    <xdr:clientData/>
  </xdr:twoCellAnchor>
  <xdr:twoCellAnchor>
    <xdr:from>
      <xdr:col>16</xdr:col>
      <xdr:colOff>533400</xdr:colOff>
      <xdr:row>153</xdr:row>
      <xdr:rowOff>123825</xdr:rowOff>
    </xdr:from>
    <xdr:to>
      <xdr:col>25</xdr:col>
      <xdr:colOff>609600</xdr:colOff>
      <xdr:row>189</xdr:row>
      <xdr:rowOff>57150</xdr:rowOff>
    </xdr:to>
    <xdr:graphicFrame>
      <xdr:nvGraphicFramePr>
        <xdr:cNvPr id="3" name="Chart 73"/>
        <xdr:cNvGraphicFramePr/>
      </xdr:nvGraphicFramePr>
      <xdr:xfrm>
        <a:off x="16125825" y="27489150"/>
        <a:ext cx="8058150" cy="5762625"/>
      </xdr:xfrm>
      <a:graphic>
        <a:graphicData uri="http://schemas.openxmlformats.org/drawingml/2006/chart">
          <c:chart xmlns:c="http://schemas.openxmlformats.org/drawingml/2006/chart" r:id="rId3"/>
        </a:graphicData>
      </a:graphic>
    </xdr:graphicFrame>
    <xdr:clientData/>
  </xdr:twoCellAnchor>
  <xdr:twoCellAnchor>
    <xdr:from>
      <xdr:col>16</xdr:col>
      <xdr:colOff>581025</xdr:colOff>
      <xdr:row>207</xdr:row>
      <xdr:rowOff>38100</xdr:rowOff>
    </xdr:from>
    <xdr:to>
      <xdr:col>25</xdr:col>
      <xdr:colOff>857250</xdr:colOff>
      <xdr:row>236</xdr:row>
      <xdr:rowOff>66675</xdr:rowOff>
    </xdr:to>
    <xdr:graphicFrame>
      <xdr:nvGraphicFramePr>
        <xdr:cNvPr id="4" name="Chart 79"/>
        <xdr:cNvGraphicFramePr/>
      </xdr:nvGraphicFramePr>
      <xdr:xfrm>
        <a:off x="16173450" y="36861750"/>
        <a:ext cx="8258175" cy="4724400"/>
      </xdr:xfrm>
      <a:graphic>
        <a:graphicData uri="http://schemas.openxmlformats.org/drawingml/2006/chart">
          <c:chart xmlns:c="http://schemas.openxmlformats.org/drawingml/2006/chart" r:id="rId4"/>
        </a:graphicData>
      </a:graphic>
    </xdr:graphicFrame>
    <xdr:clientData/>
  </xdr:twoCellAnchor>
  <xdr:twoCellAnchor>
    <xdr:from>
      <xdr:col>24</xdr:col>
      <xdr:colOff>666750</xdr:colOff>
      <xdr:row>2</xdr:row>
      <xdr:rowOff>66675</xdr:rowOff>
    </xdr:from>
    <xdr:to>
      <xdr:col>37</xdr:col>
      <xdr:colOff>276225</xdr:colOff>
      <xdr:row>37</xdr:row>
      <xdr:rowOff>38100</xdr:rowOff>
    </xdr:to>
    <xdr:graphicFrame>
      <xdr:nvGraphicFramePr>
        <xdr:cNvPr id="5" name="Chart 84"/>
        <xdr:cNvGraphicFramePr/>
      </xdr:nvGraphicFramePr>
      <xdr:xfrm>
        <a:off x="23269575" y="514350"/>
        <a:ext cx="8382000" cy="58578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34</xdr:row>
      <xdr:rowOff>114300</xdr:rowOff>
    </xdr:from>
    <xdr:to>
      <xdr:col>7</xdr:col>
      <xdr:colOff>714375</xdr:colOff>
      <xdr:row>44</xdr:row>
      <xdr:rowOff>266700</xdr:rowOff>
    </xdr:to>
    <xdr:graphicFrame>
      <xdr:nvGraphicFramePr>
        <xdr:cNvPr id="1" name="Chart 10"/>
        <xdr:cNvGraphicFramePr/>
      </xdr:nvGraphicFramePr>
      <xdr:xfrm>
        <a:off x="1190625" y="8620125"/>
        <a:ext cx="7972425" cy="4457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73</xdr:row>
      <xdr:rowOff>76200</xdr:rowOff>
    </xdr:from>
    <xdr:to>
      <xdr:col>6</xdr:col>
      <xdr:colOff>200025</xdr:colOff>
      <xdr:row>96</xdr:row>
      <xdr:rowOff>76200</xdr:rowOff>
    </xdr:to>
    <xdr:graphicFrame>
      <xdr:nvGraphicFramePr>
        <xdr:cNvPr id="1" name="Chart 1"/>
        <xdr:cNvGraphicFramePr/>
      </xdr:nvGraphicFramePr>
      <xdr:xfrm>
        <a:off x="1209675" y="15744825"/>
        <a:ext cx="6353175" cy="37242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109</xdr:row>
      <xdr:rowOff>9525</xdr:rowOff>
    </xdr:from>
    <xdr:to>
      <xdr:col>8</xdr:col>
      <xdr:colOff>314325</xdr:colOff>
      <xdr:row>134</xdr:row>
      <xdr:rowOff>9525</xdr:rowOff>
    </xdr:to>
    <xdr:graphicFrame>
      <xdr:nvGraphicFramePr>
        <xdr:cNvPr id="1" name="Chart 18"/>
        <xdr:cNvGraphicFramePr/>
      </xdr:nvGraphicFramePr>
      <xdr:xfrm>
        <a:off x="1200150" y="23917275"/>
        <a:ext cx="7915275" cy="4257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73</xdr:row>
      <xdr:rowOff>142875</xdr:rowOff>
    </xdr:from>
    <xdr:to>
      <xdr:col>9</xdr:col>
      <xdr:colOff>266700</xdr:colOff>
      <xdr:row>104</xdr:row>
      <xdr:rowOff>19050</xdr:rowOff>
    </xdr:to>
    <xdr:graphicFrame>
      <xdr:nvGraphicFramePr>
        <xdr:cNvPr id="1" name="Chart 4"/>
        <xdr:cNvGraphicFramePr/>
      </xdr:nvGraphicFramePr>
      <xdr:xfrm>
        <a:off x="1562100" y="14449425"/>
        <a:ext cx="7705725" cy="4895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48</xdr:row>
      <xdr:rowOff>47625</xdr:rowOff>
    </xdr:from>
    <xdr:to>
      <xdr:col>8</xdr:col>
      <xdr:colOff>38100</xdr:colOff>
      <xdr:row>73</xdr:row>
      <xdr:rowOff>114300</xdr:rowOff>
    </xdr:to>
    <xdr:graphicFrame>
      <xdr:nvGraphicFramePr>
        <xdr:cNvPr id="1" name="Chart 2"/>
        <xdr:cNvGraphicFramePr/>
      </xdr:nvGraphicFramePr>
      <xdr:xfrm>
        <a:off x="628650" y="9963150"/>
        <a:ext cx="7524750" cy="41148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36</xdr:row>
      <xdr:rowOff>95250</xdr:rowOff>
    </xdr:from>
    <xdr:to>
      <xdr:col>9</xdr:col>
      <xdr:colOff>85725</xdr:colOff>
      <xdr:row>68</xdr:row>
      <xdr:rowOff>28575</xdr:rowOff>
    </xdr:to>
    <xdr:graphicFrame>
      <xdr:nvGraphicFramePr>
        <xdr:cNvPr id="1" name="Chart 7"/>
        <xdr:cNvGraphicFramePr/>
      </xdr:nvGraphicFramePr>
      <xdr:xfrm>
        <a:off x="619125" y="9772650"/>
        <a:ext cx="9029700"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M206"/>
  <sheetViews>
    <sheetView tabSelected="1" zoomScalePageLayoutView="0" workbookViewId="0" topLeftCell="A106">
      <selection activeCell="C122" sqref="C122"/>
    </sheetView>
  </sheetViews>
  <sheetFormatPr defaultColWidth="9.140625" defaultRowHeight="12.75"/>
  <cols>
    <col min="1" max="1" width="22.421875" style="0" customWidth="1"/>
    <col min="2" max="2" width="7.57421875" style="0" customWidth="1"/>
    <col min="3" max="3" width="33.421875" style="0" customWidth="1"/>
    <col min="4" max="4" width="11.421875" style="90" customWidth="1"/>
    <col min="5" max="5" width="11.7109375" style="0" customWidth="1"/>
    <col min="6" max="6" width="14.00390625" style="0" customWidth="1"/>
    <col min="7" max="7" width="13.28125" style="0" customWidth="1"/>
    <col min="8" max="8" width="10.28125" style="0" customWidth="1"/>
    <col min="9" max="9" width="10.8515625" style="0" customWidth="1"/>
    <col min="10" max="10" width="10.57421875" style="0" customWidth="1"/>
    <col min="11" max="11" width="10.8515625" style="0" customWidth="1"/>
    <col min="12" max="12" width="33.28125" style="0" customWidth="1"/>
    <col min="13" max="13" width="11.28125" style="0" customWidth="1"/>
    <col min="14" max="15" width="11.140625" style="0" customWidth="1"/>
    <col min="16" max="17" width="10.57421875" style="0" customWidth="1"/>
    <col min="18" max="18" width="27.421875" style="0" customWidth="1"/>
    <col min="19" max="19" width="10.8515625" style="0" customWidth="1"/>
    <col min="20" max="21" width="10.421875" style="0" customWidth="1"/>
    <col min="22" max="22" width="10.421875" style="0" bestFit="1" customWidth="1"/>
    <col min="23" max="23" width="10.421875" style="0" customWidth="1"/>
    <col min="24" max="26" width="14.57421875" style="0" customWidth="1"/>
    <col min="27" max="27" width="11.00390625" style="0" bestFit="1" customWidth="1"/>
    <col min="43" max="43" width="51.421875" style="0" customWidth="1"/>
  </cols>
  <sheetData>
    <row r="1" ht="12.75">
      <c r="A1" s="35"/>
    </row>
    <row r="2" spans="1:4" s="12" customFormat="1" ht="22.5" customHeight="1">
      <c r="A2" s="11" t="s">
        <v>72</v>
      </c>
      <c r="D2" s="91"/>
    </row>
    <row r="3" spans="1:25" ht="15.75">
      <c r="A3" s="16" t="s">
        <v>54</v>
      </c>
      <c r="Y3" s="111"/>
    </row>
    <row r="4" spans="1:25" ht="13.5" thickBot="1">
      <c r="A4" s="145"/>
      <c r="Y4" s="6"/>
    </row>
    <row r="5" spans="1:43" s="55" customFormat="1" ht="26.25" thickBot="1">
      <c r="A5" s="50" t="s">
        <v>21</v>
      </c>
      <c r="B5" s="51" t="s">
        <v>31</v>
      </c>
      <c r="C5" s="52" t="s">
        <v>32</v>
      </c>
      <c r="D5" s="53">
        <v>1990</v>
      </c>
      <c r="E5" s="52">
        <v>1991</v>
      </c>
      <c r="F5" s="52">
        <v>1992</v>
      </c>
      <c r="G5" s="52">
        <v>1993</v>
      </c>
      <c r="H5" s="52">
        <v>1994</v>
      </c>
      <c r="I5" s="52">
        <v>1995</v>
      </c>
      <c r="J5" s="52">
        <v>1996</v>
      </c>
      <c r="K5" s="52">
        <v>1997</v>
      </c>
      <c r="L5" s="52">
        <v>1998</v>
      </c>
      <c r="M5" s="52">
        <v>1999</v>
      </c>
      <c r="N5" s="52">
        <v>2000</v>
      </c>
      <c r="O5" s="52">
        <v>2001</v>
      </c>
      <c r="P5" s="52">
        <v>2002</v>
      </c>
      <c r="Q5" s="52">
        <v>2003</v>
      </c>
      <c r="R5" s="52">
        <v>2004</v>
      </c>
      <c r="S5" s="52">
        <v>2005</v>
      </c>
      <c r="T5" s="52">
        <v>2006</v>
      </c>
      <c r="U5" s="52">
        <v>2007</v>
      </c>
      <c r="V5" s="52">
        <v>2008</v>
      </c>
      <c r="W5" s="54">
        <v>2009</v>
      </c>
      <c r="Y5" s="225"/>
      <c r="AQ5" s="136"/>
    </row>
    <row r="6" spans="1:43" ht="12.75">
      <c r="A6" s="22" t="s">
        <v>22</v>
      </c>
      <c r="B6" s="3" t="s">
        <v>0</v>
      </c>
      <c r="C6" s="6" t="s">
        <v>33</v>
      </c>
      <c r="D6" s="92">
        <v>0.20814813891666667</v>
      </c>
      <c r="E6" s="23">
        <v>0.208693120625</v>
      </c>
      <c r="F6" s="23">
        <v>0.32599533449999996</v>
      </c>
      <c r="G6" s="23">
        <v>0.26735875649999996</v>
      </c>
      <c r="H6" s="23">
        <v>0.281887221</v>
      </c>
      <c r="I6" s="23">
        <v>0.2919537445</v>
      </c>
      <c r="J6" s="23">
        <v>0.27965834049999994</v>
      </c>
      <c r="K6" s="23">
        <v>0.21630912233333333</v>
      </c>
      <c r="L6" s="23">
        <v>0.24169406891666667</v>
      </c>
      <c r="M6" s="23">
        <v>0.23504540949999997</v>
      </c>
      <c r="N6" s="23">
        <v>0.12826813083333333</v>
      </c>
      <c r="O6" s="23">
        <v>0.097820628125</v>
      </c>
      <c r="P6" s="23">
        <v>0.08332874058365576</v>
      </c>
      <c r="Q6" s="23">
        <v>0.03307569750730868</v>
      </c>
      <c r="R6" s="23">
        <v>0.04932066844002579</v>
      </c>
      <c r="S6" s="23">
        <v>0.03127949712187746</v>
      </c>
      <c r="T6" s="23">
        <v>0.03688488443647443</v>
      </c>
      <c r="U6" s="23">
        <v>0.07971161978373736</v>
      </c>
      <c r="V6" s="127">
        <v>0.03823368503623485</v>
      </c>
      <c r="W6" s="128">
        <v>0.03737033997795057</v>
      </c>
      <c r="Y6" s="23"/>
      <c r="AQ6" s="137"/>
    </row>
    <row r="7" spans="1:43" ht="12.75">
      <c r="A7" s="14"/>
      <c r="B7" s="3" t="s">
        <v>1</v>
      </c>
      <c r="C7" s="6" t="s">
        <v>34</v>
      </c>
      <c r="D7" s="92">
        <v>0.036426748357963876</v>
      </c>
      <c r="E7" s="9">
        <v>0.036426748357963876</v>
      </c>
      <c r="F7" s="23">
        <v>0.036426748357963876</v>
      </c>
      <c r="G7" s="23">
        <v>0.03380753288054187</v>
      </c>
      <c r="H7" s="23">
        <v>0.03901347727348112</v>
      </c>
      <c r="I7" s="23">
        <v>0.039659784218801314</v>
      </c>
      <c r="J7" s="23">
        <v>0.04520228368333333</v>
      </c>
      <c r="K7" s="9">
        <v>0.06343948361666667</v>
      </c>
      <c r="L7" s="9">
        <v>0.06021249263333333</v>
      </c>
      <c r="M7" s="9">
        <v>0.04392414931221166</v>
      </c>
      <c r="N7" s="9">
        <v>0.05146000188835</v>
      </c>
      <c r="O7" s="9">
        <v>0.04912661086666667</v>
      </c>
      <c r="P7" s="9">
        <v>0.049604415299999996</v>
      </c>
      <c r="Q7" s="9">
        <v>0.04941575026666666</v>
      </c>
      <c r="R7" s="9">
        <v>0.05103011191666667</v>
      </c>
      <c r="S7" s="9">
        <v>0.04829226416666667</v>
      </c>
      <c r="T7" s="9">
        <v>0.04907180666666666</v>
      </c>
      <c r="U7" s="23">
        <v>0.045918202916666664</v>
      </c>
      <c r="V7" s="126">
        <v>0.04678042416666666</v>
      </c>
      <c r="W7" s="129">
        <v>0.04678042416666666</v>
      </c>
      <c r="Y7" s="23"/>
      <c r="AQ7" s="137"/>
    </row>
    <row r="8" spans="1:43" ht="12.75">
      <c r="A8" s="14"/>
      <c r="B8" s="3" t="s">
        <v>2</v>
      </c>
      <c r="C8" s="6" t="s">
        <v>35</v>
      </c>
      <c r="D8" s="92">
        <v>0.0443521433929806</v>
      </c>
      <c r="E8" s="9">
        <v>0.042684682679307986</v>
      </c>
      <c r="F8" s="23">
        <v>0.04117121962035571</v>
      </c>
      <c r="G8" s="23">
        <v>0.04063034136381742</v>
      </c>
      <c r="H8" s="23">
        <v>0.03962183654314105</v>
      </c>
      <c r="I8" s="23">
        <v>0.039253817024347486</v>
      </c>
      <c r="J8" s="23">
        <v>0.038866884541318855</v>
      </c>
      <c r="K8" s="9">
        <v>0.03836719136913672</v>
      </c>
      <c r="L8" s="9">
        <v>0.040963736213307386</v>
      </c>
      <c r="M8" s="9">
        <v>0.0423911289068461</v>
      </c>
      <c r="N8" s="9">
        <v>0.04852247925097843</v>
      </c>
      <c r="O8" s="9">
        <v>0.04925991323472689</v>
      </c>
      <c r="P8" s="9">
        <v>0.04857497666509536</v>
      </c>
      <c r="Q8" s="9">
        <v>0.04922102976473441</v>
      </c>
      <c r="R8" s="9">
        <v>0.048320267191735156</v>
      </c>
      <c r="S8" s="9">
        <v>0.04850838505776793</v>
      </c>
      <c r="T8" s="9">
        <v>0.04641552659314663</v>
      </c>
      <c r="U8" s="23">
        <v>0.049103038217324986</v>
      </c>
      <c r="V8" s="126">
        <v>0.05054064227278999</v>
      </c>
      <c r="W8" s="129">
        <v>0.04234258006128793</v>
      </c>
      <c r="Y8" s="23"/>
      <c r="AQ8" s="138"/>
    </row>
    <row r="9" spans="1:43" ht="12.75">
      <c r="A9" s="14"/>
      <c r="B9" s="3" t="s">
        <v>3</v>
      </c>
      <c r="C9" s="6" t="s">
        <v>36</v>
      </c>
      <c r="D9" s="92">
        <v>0.12011237865950623</v>
      </c>
      <c r="E9" s="9">
        <v>0.12011237865950625</v>
      </c>
      <c r="F9" s="23">
        <v>0.12220054088294796</v>
      </c>
      <c r="G9" s="23">
        <v>0.12588474406085928</v>
      </c>
      <c r="H9" s="23">
        <v>0.1309325299458745</v>
      </c>
      <c r="I9" s="23">
        <v>0.13067014217675124</v>
      </c>
      <c r="J9" s="23">
        <v>0.12803489489999997</v>
      </c>
      <c r="K9" s="9">
        <v>0.12399372315000003</v>
      </c>
      <c r="L9" s="9">
        <v>0.12813769031250002</v>
      </c>
      <c r="M9" s="9">
        <v>0.11671412101176666</v>
      </c>
      <c r="N9" s="9">
        <v>0.12684726806436664</v>
      </c>
      <c r="O9" s="9">
        <v>0.12785182116666666</v>
      </c>
      <c r="P9" s="9">
        <v>0.12639833715933788</v>
      </c>
      <c r="Q9" s="9">
        <v>0.12510410141969017</v>
      </c>
      <c r="R9" s="9">
        <v>0.12207257270506339</v>
      </c>
      <c r="S9" s="9">
        <v>0.12037208590716802</v>
      </c>
      <c r="T9" s="9">
        <v>0.12204605971947373</v>
      </c>
      <c r="U9" s="23">
        <v>0.11864451091718044</v>
      </c>
      <c r="V9" s="126">
        <v>0.12136676550453003</v>
      </c>
      <c r="W9" s="129">
        <v>0.12104036264685548</v>
      </c>
      <c r="Y9" s="23"/>
      <c r="AQ9" s="137"/>
    </row>
    <row r="10" spans="1:43" ht="12.75">
      <c r="A10" s="14"/>
      <c r="B10" s="3" t="s">
        <v>4</v>
      </c>
      <c r="C10" s="6" t="s">
        <v>37</v>
      </c>
      <c r="D10" s="92">
        <v>0.06170750026447137</v>
      </c>
      <c r="E10" s="9">
        <v>0.061727125059216854</v>
      </c>
      <c r="F10" s="23">
        <v>0.054206870347653785</v>
      </c>
      <c r="G10" s="23">
        <v>0.05916803385585301</v>
      </c>
      <c r="H10" s="23">
        <v>0.06322063383386659</v>
      </c>
      <c r="I10" s="23">
        <v>0.06178652822883304</v>
      </c>
      <c r="J10" s="23">
        <v>0.0690123933464</v>
      </c>
      <c r="K10" s="9">
        <v>0.07612086190746666</v>
      </c>
      <c r="L10" s="9">
        <v>0.0949442487112</v>
      </c>
      <c r="M10" s="9">
        <v>0.06139157056002666</v>
      </c>
      <c r="N10" s="9">
        <v>0.06252667920604667</v>
      </c>
      <c r="O10" s="9">
        <v>0.13138592461333332</v>
      </c>
      <c r="P10" s="9">
        <v>0.11392283975799997</v>
      </c>
      <c r="Q10" s="9">
        <v>0.06373191879290002</v>
      </c>
      <c r="R10" s="9">
        <v>0.07904368285108326</v>
      </c>
      <c r="S10" s="9">
        <v>0.05749364145863327</v>
      </c>
      <c r="T10" s="9">
        <v>0.060206769328072715</v>
      </c>
      <c r="U10" s="23">
        <v>0.09763982578438063</v>
      </c>
      <c r="V10" s="126">
        <v>0.053290523843206844</v>
      </c>
      <c r="W10" s="129">
        <v>0.05330886239419351</v>
      </c>
      <c r="Y10" s="23"/>
      <c r="AQ10" s="139"/>
    </row>
    <row r="11" spans="1:43" ht="12.75">
      <c r="A11" s="14"/>
      <c r="B11" s="3" t="s">
        <v>5</v>
      </c>
      <c r="C11" s="6" t="s">
        <v>38</v>
      </c>
      <c r="D11" s="92">
        <v>0.11067581296827433</v>
      </c>
      <c r="E11" s="9">
        <v>0.11067581296827433</v>
      </c>
      <c r="F11" s="23">
        <v>0.09690572125604575</v>
      </c>
      <c r="G11" s="23">
        <v>0.10245326219099579</v>
      </c>
      <c r="H11" s="23">
        <v>0.0991542175179428</v>
      </c>
      <c r="I11" s="23">
        <v>0.09932250003494783</v>
      </c>
      <c r="J11" s="23">
        <v>0.1048607092303995</v>
      </c>
      <c r="K11" s="9">
        <v>0.11363956863360711</v>
      </c>
      <c r="L11" s="9">
        <v>0.13432642463329011</v>
      </c>
      <c r="M11" s="9">
        <v>0.10317480526912377</v>
      </c>
      <c r="N11" s="9">
        <v>0.10345336679206317</v>
      </c>
      <c r="O11" s="9">
        <v>0.10656585457899459</v>
      </c>
      <c r="P11" s="9">
        <v>0.10268290058220289</v>
      </c>
      <c r="Q11" s="9">
        <v>0.09845169910841586</v>
      </c>
      <c r="R11" s="9">
        <v>0.09939240510056095</v>
      </c>
      <c r="S11" s="9">
        <v>0.09803662014312314</v>
      </c>
      <c r="T11" s="9">
        <v>0.0981601963104954</v>
      </c>
      <c r="U11" s="23">
        <v>0.1015770143664185</v>
      </c>
      <c r="V11" s="126">
        <v>0.09840301465174638</v>
      </c>
      <c r="W11" s="129">
        <v>0.09840301465174638</v>
      </c>
      <c r="Y11" s="23"/>
      <c r="AQ11" s="137"/>
    </row>
    <row r="12" spans="1:43" ht="12.75">
      <c r="A12" s="14"/>
      <c r="B12" s="3" t="s">
        <v>6</v>
      </c>
      <c r="C12" s="6" t="s">
        <v>39</v>
      </c>
      <c r="D12" s="92">
        <v>0.00027211932</v>
      </c>
      <c r="E12" s="9">
        <v>-0.0003223602799999999</v>
      </c>
      <c r="F12" s="23">
        <v>-0.0007727376799999999</v>
      </c>
      <c r="G12" s="23">
        <v>-0.0007708868199999998</v>
      </c>
      <c r="H12" s="23">
        <v>-0.0018387074200000005</v>
      </c>
      <c r="I12" s="23">
        <v>-0.003909369859999999</v>
      </c>
      <c r="J12" s="23">
        <v>-0.0028396593866666666</v>
      </c>
      <c r="K12" s="9">
        <v>-0.0008140369599999998</v>
      </c>
      <c r="L12" s="9">
        <v>-0.00055348744</v>
      </c>
      <c r="M12" s="9">
        <v>-0.00109459834</v>
      </c>
      <c r="N12" s="9">
        <v>-0.00283286278</v>
      </c>
      <c r="O12" s="9">
        <v>-0.00457121522</v>
      </c>
      <c r="P12" s="9">
        <v>-0.00057435708</v>
      </c>
      <c r="Q12" s="9">
        <v>-0.0022741664</v>
      </c>
      <c r="R12" s="9">
        <v>-0.0005646893999999999</v>
      </c>
      <c r="S12" s="9">
        <v>-0.0003023006799999999</v>
      </c>
      <c r="T12" s="9">
        <v>0.00019152606</v>
      </c>
      <c r="U12" s="23">
        <v>0.00019152606</v>
      </c>
      <c r="V12" s="130">
        <v>0.00019152606</v>
      </c>
      <c r="W12" s="131">
        <v>0.00019152606</v>
      </c>
      <c r="Y12" s="23"/>
      <c r="AQ12" s="136"/>
    </row>
    <row r="13" spans="1:25" ht="12.75">
      <c r="A13" s="13" t="s">
        <v>24</v>
      </c>
      <c r="B13" s="4"/>
      <c r="C13" s="2"/>
      <c r="D13" s="93">
        <f>SUM(D6:D12)</f>
        <v>0.5816948418798632</v>
      </c>
      <c r="E13" s="8">
        <f aca="true" t="shared" si="0" ref="E13:T13">SUM(E6:E12)</f>
        <v>0.5799975080692693</v>
      </c>
      <c r="F13" s="8">
        <f t="shared" si="0"/>
        <v>0.6761336972849671</v>
      </c>
      <c r="G13" s="8">
        <f t="shared" si="0"/>
        <v>0.6285317840320673</v>
      </c>
      <c r="H13" s="8">
        <f t="shared" si="0"/>
        <v>0.651991208694306</v>
      </c>
      <c r="I13" s="8">
        <f t="shared" si="0"/>
        <v>0.6587371463236809</v>
      </c>
      <c r="J13" s="8">
        <f t="shared" si="0"/>
        <v>0.662795846814785</v>
      </c>
      <c r="K13" s="8">
        <f t="shared" si="0"/>
        <v>0.6310559140502106</v>
      </c>
      <c r="L13" s="8">
        <f t="shared" si="0"/>
        <v>0.6997251739802977</v>
      </c>
      <c r="M13" s="8">
        <f t="shared" si="0"/>
        <v>0.6015465862199748</v>
      </c>
      <c r="N13" s="8">
        <f t="shared" si="0"/>
        <v>0.5182450632551383</v>
      </c>
      <c r="O13" s="8">
        <f t="shared" si="0"/>
        <v>0.5574395373653881</v>
      </c>
      <c r="P13" s="8">
        <f t="shared" si="0"/>
        <v>0.5239378529682919</v>
      </c>
      <c r="Q13" s="8">
        <f t="shared" si="0"/>
        <v>0.4167260304597158</v>
      </c>
      <c r="R13" s="8">
        <f t="shared" si="0"/>
        <v>0.4486150188051352</v>
      </c>
      <c r="S13" s="8">
        <f t="shared" si="0"/>
        <v>0.4036801931752365</v>
      </c>
      <c r="T13" s="8">
        <f t="shared" si="0"/>
        <v>0.41297676911432957</v>
      </c>
      <c r="U13" s="8">
        <f>SUM(U6:U12)</f>
        <v>0.4927857380457085</v>
      </c>
      <c r="V13" s="132">
        <f>SUM(V6:V12)</f>
        <v>0.40880658153517474</v>
      </c>
      <c r="W13" s="133">
        <f>SUM(W6:W12)</f>
        <v>0.3994371099587006</v>
      </c>
      <c r="Y13" s="23"/>
    </row>
    <row r="14" spans="1:25" ht="12.75">
      <c r="A14" s="13" t="s">
        <v>23</v>
      </c>
      <c r="B14" s="1" t="s">
        <v>0</v>
      </c>
      <c r="C14" s="2" t="s">
        <v>33</v>
      </c>
      <c r="D14" s="93">
        <v>0.0005416374215306249</v>
      </c>
      <c r="E14" s="8">
        <v>0.000549307797530625</v>
      </c>
      <c r="F14" s="8">
        <v>0.000658719205081875</v>
      </c>
      <c r="G14" s="8">
        <v>0.0006153240117543751</v>
      </c>
      <c r="H14" s="8">
        <v>0.00063526627812375</v>
      </c>
      <c r="I14" s="8">
        <v>0.0006513459347193749</v>
      </c>
      <c r="J14" s="8">
        <v>0.0006552659493056249</v>
      </c>
      <c r="K14" s="8">
        <v>0.0006144527669175</v>
      </c>
      <c r="L14" s="8">
        <v>0.00065035057507875</v>
      </c>
      <c r="M14" s="8">
        <v>0.000658646932033125</v>
      </c>
      <c r="N14" s="8">
        <v>0.0005815373055975</v>
      </c>
      <c r="O14" s="8">
        <v>0.000539366123559375</v>
      </c>
      <c r="P14" s="8">
        <v>0.0005365140097104025</v>
      </c>
      <c r="Q14" s="8">
        <v>0.0004962227515071926</v>
      </c>
      <c r="R14" s="8">
        <v>0.00048448138776075773</v>
      </c>
      <c r="S14" s="8">
        <v>0.0004457903760449999</v>
      </c>
      <c r="T14" s="8">
        <v>0.00045494414311500003</v>
      </c>
      <c r="U14" s="8">
        <v>0.0004954813712733792</v>
      </c>
      <c r="V14" s="134">
        <v>0.00044967652188384314</v>
      </c>
      <c r="W14" s="135">
        <v>0.00042978836688384314</v>
      </c>
      <c r="Y14" s="23"/>
    </row>
    <row r="15" spans="1:25" ht="12.75">
      <c r="A15" s="14"/>
      <c r="B15" s="3" t="s">
        <v>1</v>
      </c>
      <c r="C15" s="6" t="s">
        <v>34</v>
      </c>
      <c r="D15" s="92">
        <v>2.244125172413794E-05</v>
      </c>
      <c r="E15" s="9">
        <v>2.244125172413794E-05</v>
      </c>
      <c r="F15" s="23">
        <v>2.244125172413794E-05</v>
      </c>
      <c r="G15" s="23">
        <v>2.0827644237931044E-05</v>
      </c>
      <c r="H15" s="23">
        <v>2.403484537034484E-05</v>
      </c>
      <c r="I15" s="23">
        <v>2.443301258275863E-05</v>
      </c>
      <c r="J15" s="23">
        <v>2.784755358000001E-05</v>
      </c>
      <c r="K15" s="9">
        <v>3.9082857660000016E-05</v>
      </c>
      <c r="L15" s="9">
        <v>3.7094820840000016E-05</v>
      </c>
      <c r="M15" s="9">
        <v>2.7060139483146013E-05</v>
      </c>
      <c r="N15" s="9">
        <v>3.1702715947980015E-05</v>
      </c>
      <c r="O15" s="9">
        <v>3.026519496000001E-05</v>
      </c>
      <c r="P15" s="9">
        <v>3.055955364000002E-05</v>
      </c>
      <c r="Q15" s="9">
        <v>3.0443323680000012E-05</v>
      </c>
      <c r="R15" s="9">
        <v>3.143787570000001E-05</v>
      </c>
      <c r="S15" s="9">
        <v>2.975118300000001E-05</v>
      </c>
      <c r="T15" s="9">
        <v>3.0231432000000014E-05</v>
      </c>
      <c r="U15" s="23">
        <v>2.8288606500000014E-05</v>
      </c>
      <c r="V15" s="126">
        <v>2.881979100000001E-05</v>
      </c>
      <c r="W15" s="129">
        <v>2.881979100000001E-05</v>
      </c>
      <c r="Y15" s="23"/>
    </row>
    <row r="16" spans="1:25" ht="12.75">
      <c r="A16" s="14"/>
      <c r="B16" s="3" t="s">
        <v>2</v>
      </c>
      <c r="C16" s="6" t="s">
        <v>35</v>
      </c>
      <c r="D16" s="92">
        <v>0.0001526299891356695</v>
      </c>
      <c r="E16" s="9">
        <v>0.00014966919817019846</v>
      </c>
      <c r="F16" s="23">
        <v>0.00012471283984754372</v>
      </c>
      <c r="G16" s="23">
        <v>0.00013337673319249504</v>
      </c>
      <c r="H16" s="23">
        <v>0.00010355017784344086</v>
      </c>
      <c r="I16" s="23">
        <v>9.180897412345235E-05</v>
      </c>
      <c r="J16" s="23">
        <v>9.846265899459055E-05</v>
      </c>
      <c r="K16" s="9">
        <v>0.0001121729360737856</v>
      </c>
      <c r="L16" s="9">
        <v>8.039175037138717E-05</v>
      </c>
      <c r="M16" s="9">
        <v>8.232650144201416E-05</v>
      </c>
      <c r="N16" s="9">
        <v>7.570342000136456E-05</v>
      </c>
      <c r="O16" s="9">
        <v>8.23034420819683E-05</v>
      </c>
      <c r="P16" s="9">
        <v>7.063389843358382E-05</v>
      </c>
      <c r="Q16" s="9">
        <v>7.025150564752662E-05</v>
      </c>
      <c r="R16" s="9">
        <v>7.590289282467768E-05</v>
      </c>
      <c r="S16" s="9">
        <v>8.00563377201815E-05</v>
      </c>
      <c r="T16" s="9">
        <v>7.092192427685891E-05</v>
      </c>
      <c r="U16" s="23">
        <v>5.5574215588548566E-05</v>
      </c>
      <c r="V16" s="126">
        <v>5.3482019308858305E-05</v>
      </c>
      <c r="W16" s="129">
        <v>3.867273607047399E-05</v>
      </c>
      <c r="Y16" s="23"/>
    </row>
    <row r="17" spans="1:25" ht="12.75">
      <c r="A17" s="14"/>
      <c r="B17" s="3" t="s">
        <v>3</v>
      </c>
      <c r="C17" s="6" t="s">
        <v>36</v>
      </c>
      <c r="D17" s="92">
        <v>0.0011624309685388833</v>
      </c>
      <c r="E17" s="9">
        <v>0.0011616634175015351</v>
      </c>
      <c r="F17" s="23">
        <v>0.0011369304964866046</v>
      </c>
      <c r="G17" s="23">
        <v>0.0010898532974750168</v>
      </c>
      <c r="H17" s="23">
        <v>0.0010802415748573451</v>
      </c>
      <c r="I17" s="23">
        <v>0.0010260399068080892</v>
      </c>
      <c r="J17" s="23">
        <v>0.0009217627689230601</v>
      </c>
      <c r="K17" s="9">
        <v>0.0008056120678334658</v>
      </c>
      <c r="L17" s="9">
        <v>0.0007670977119117586</v>
      </c>
      <c r="M17" s="9">
        <v>0.0006327887468233719</v>
      </c>
      <c r="N17" s="9">
        <v>0.0006022313709113308</v>
      </c>
      <c r="O17" s="9">
        <v>0.0005244789334527114</v>
      </c>
      <c r="P17" s="9">
        <v>0.0004556610579249807</v>
      </c>
      <c r="Q17" s="9">
        <v>0.00041622144303050533</v>
      </c>
      <c r="R17" s="9">
        <v>0.00036191967509903005</v>
      </c>
      <c r="S17" s="9">
        <v>0.00032797250117608153</v>
      </c>
      <c r="T17" s="9">
        <v>0.0002979284199710774</v>
      </c>
      <c r="U17" s="23">
        <v>0.00026713151829853824</v>
      </c>
      <c r="V17" s="126">
        <v>0.000251531299644115</v>
      </c>
      <c r="W17" s="129">
        <v>0.000179649965922586</v>
      </c>
      <c r="Y17" s="23"/>
    </row>
    <row r="18" spans="1:25" ht="12.75">
      <c r="A18" s="14"/>
      <c r="B18" s="3" t="s">
        <v>4</v>
      </c>
      <c r="C18" s="6" t="s">
        <v>37</v>
      </c>
      <c r="D18" s="92">
        <v>0.00014346394687084058</v>
      </c>
      <c r="E18" s="9">
        <v>0.00014346394687084058</v>
      </c>
      <c r="F18" s="23">
        <v>0.00014095415334917704</v>
      </c>
      <c r="G18" s="23">
        <v>0.0001422541950665235</v>
      </c>
      <c r="H18" s="23">
        <v>0.00016084146380807954</v>
      </c>
      <c r="I18" s="23">
        <v>0.0001564557796998629</v>
      </c>
      <c r="J18" s="23">
        <v>0.00017557140195</v>
      </c>
      <c r="K18" s="9">
        <v>0.00020205428775</v>
      </c>
      <c r="L18" s="9">
        <v>0.00026000745256500005</v>
      </c>
      <c r="M18" s="9">
        <v>0.00016460879339814</v>
      </c>
      <c r="N18" s="9">
        <v>0.000165503396881305</v>
      </c>
      <c r="O18" s="9">
        <v>0.00036247593070499995</v>
      </c>
      <c r="P18" s="9">
        <v>0.00031530841040999997</v>
      </c>
      <c r="Q18" s="9">
        <v>0.00017319522191791472</v>
      </c>
      <c r="R18" s="9">
        <v>0.00021614619218959146</v>
      </c>
      <c r="S18" s="9">
        <v>0.0001563211150197399</v>
      </c>
      <c r="T18" s="9">
        <v>0.000166116667154987</v>
      </c>
      <c r="U18" s="23">
        <v>0.0002747004439230015</v>
      </c>
      <c r="V18" s="126">
        <v>0.0001489309966448909</v>
      </c>
      <c r="W18" s="129">
        <v>0.0001489309966448909</v>
      </c>
      <c r="Y18" s="23"/>
    </row>
    <row r="19" spans="1:25" ht="12.75">
      <c r="A19" s="14"/>
      <c r="B19" s="3" t="s">
        <v>5</v>
      </c>
      <c r="C19" s="6" t="s">
        <v>38</v>
      </c>
      <c r="D19" s="92">
        <v>0.002059577311192766</v>
      </c>
      <c r="E19" s="9">
        <v>0.002059577311192766</v>
      </c>
      <c r="F19" s="23">
        <v>0.0011136650022320993</v>
      </c>
      <c r="G19" s="23">
        <v>0.0016840126045551168</v>
      </c>
      <c r="H19" s="23">
        <v>0.0013520324380998138</v>
      </c>
      <c r="I19" s="23">
        <v>0.0013584626243587357</v>
      </c>
      <c r="J19" s="23">
        <v>0.0013909775058055603</v>
      </c>
      <c r="K19" s="9">
        <v>0.0012274141202888128</v>
      </c>
      <c r="L19" s="9">
        <v>0.001210819662941803</v>
      </c>
      <c r="M19" s="9">
        <v>0.000997990375709975</v>
      </c>
      <c r="N19" s="9">
        <v>0.0010021019415864172</v>
      </c>
      <c r="O19" s="9">
        <v>0.0009691529068568247</v>
      </c>
      <c r="P19" s="9">
        <v>0.0008014507041628426</v>
      </c>
      <c r="Q19" s="9">
        <v>0.0007594759791376464</v>
      </c>
      <c r="R19" s="9">
        <v>0.0007714813940918016</v>
      </c>
      <c r="S19" s="9">
        <v>0.0007273619888313568</v>
      </c>
      <c r="T19" s="9">
        <v>0.0006339047341789786</v>
      </c>
      <c r="U19" s="23">
        <v>0.0005744679277395557</v>
      </c>
      <c r="V19" s="126">
        <v>0.0005649721167756064</v>
      </c>
      <c r="W19" s="129">
        <v>0.0005649721167756064</v>
      </c>
      <c r="Y19" s="23"/>
    </row>
    <row r="20" spans="1:25" ht="12.75">
      <c r="A20" s="14"/>
      <c r="B20" s="3" t="s">
        <v>7</v>
      </c>
      <c r="C20" s="6" t="s">
        <v>40</v>
      </c>
      <c r="D20" s="92">
        <v>0.012341028</v>
      </c>
      <c r="E20" s="9">
        <v>0.012341028</v>
      </c>
      <c r="F20" s="23">
        <v>0.012341028</v>
      </c>
      <c r="G20" s="23">
        <v>0.012341028</v>
      </c>
      <c r="H20" s="23">
        <v>0.012341028</v>
      </c>
      <c r="I20" s="23">
        <v>0.012341028</v>
      </c>
      <c r="J20" s="23">
        <v>0.012341028</v>
      </c>
      <c r="K20" s="9">
        <v>0.012341028</v>
      </c>
      <c r="L20" s="9">
        <v>0.012341028</v>
      </c>
      <c r="M20" s="9">
        <v>0.012341028</v>
      </c>
      <c r="N20" s="9">
        <v>0.01263864</v>
      </c>
      <c r="O20" s="9">
        <v>0.0122556</v>
      </c>
      <c r="P20" s="9">
        <v>0.010736039999999999</v>
      </c>
      <c r="Q20" s="9">
        <v>0.009701244000000001</v>
      </c>
      <c r="R20" s="9">
        <v>0.009150036</v>
      </c>
      <c r="S20" s="9">
        <v>0.008910804</v>
      </c>
      <c r="T20" s="9">
        <v>0.009519804</v>
      </c>
      <c r="U20" s="23">
        <v>0.009845724</v>
      </c>
      <c r="V20" s="126">
        <v>0.008463336</v>
      </c>
      <c r="W20" s="129">
        <v>0.008386812</v>
      </c>
      <c r="Y20" s="23"/>
    </row>
    <row r="21" spans="1:26" ht="12.75">
      <c r="A21" s="14"/>
      <c r="B21" s="3" t="s">
        <v>8</v>
      </c>
      <c r="C21" s="6" t="s">
        <v>41</v>
      </c>
      <c r="D21" s="92">
        <v>4.1664E-05</v>
      </c>
      <c r="E21" s="9">
        <v>4.1664E-05</v>
      </c>
      <c r="F21" s="23">
        <v>4.1664E-05</v>
      </c>
      <c r="G21" s="23">
        <v>4.1664E-05</v>
      </c>
      <c r="H21" s="23">
        <v>4.1664E-05</v>
      </c>
      <c r="I21" s="23">
        <v>4.1664E-05</v>
      </c>
      <c r="J21" s="23">
        <v>4.1664E-05</v>
      </c>
      <c r="K21" s="9">
        <v>4.1664E-05</v>
      </c>
      <c r="L21" s="9">
        <v>4.1664E-05</v>
      </c>
      <c r="M21" s="9">
        <v>4.1664E-05</v>
      </c>
      <c r="N21" s="9">
        <v>4.4519999999999994E-05</v>
      </c>
      <c r="O21" s="9">
        <v>4.3848E-05</v>
      </c>
      <c r="P21" s="9">
        <v>3.864E-05</v>
      </c>
      <c r="Q21" s="9">
        <v>4.3344E-05</v>
      </c>
      <c r="R21" s="9">
        <v>4.3344E-05</v>
      </c>
      <c r="S21" s="9">
        <v>5.6111999999999994E-05</v>
      </c>
      <c r="T21" s="9">
        <v>9.4248E-05</v>
      </c>
      <c r="U21" s="23">
        <v>9.2568E-05</v>
      </c>
      <c r="V21" s="126">
        <v>0.00011810399999999999</v>
      </c>
      <c r="W21" s="129">
        <v>0.000144648</v>
      </c>
      <c r="Y21" s="23"/>
      <c r="Z21" s="20"/>
    </row>
    <row r="22" spans="1:25" ht="12.75">
      <c r="A22" s="14"/>
      <c r="B22" s="3" t="s">
        <v>9</v>
      </c>
      <c r="C22" s="6" t="s">
        <v>42</v>
      </c>
      <c r="D22" s="92">
        <v>5.9849999999999994E-06</v>
      </c>
      <c r="E22" s="9">
        <v>5.9849999999999994E-06</v>
      </c>
      <c r="F22" s="23">
        <v>5.9849999999999994E-06</v>
      </c>
      <c r="G22" s="23">
        <v>5.9849999999999994E-06</v>
      </c>
      <c r="H22" s="23">
        <v>5.9849999999999994E-06</v>
      </c>
      <c r="I22" s="23">
        <v>5.9849999999999994E-06</v>
      </c>
      <c r="J22" s="23">
        <v>5.9849999999999994E-06</v>
      </c>
      <c r="K22" s="9">
        <v>5.9849999999999994E-06</v>
      </c>
      <c r="L22" s="9">
        <v>5.9849999999999994E-06</v>
      </c>
      <c r="M22" s="9">
        <v>5.9849999999999994E-06</v>
      </c>
      <c r="N22" s="9">
        <v>5.775000000000001E-06</v>
      </c>
      <c r="O22" s="9">
        <v>6.72E-06</v>
      </c>
      <c r="P22" s="9">
        <v>2.1000000000000002E-06</v>
      </c>
      <c r="Q22" s="9">
        <v>2.1000000000000002E-06</v>
      </c>
      <c r="R22" s="9">
        <v>2.1000000000000002E-06</v>
      </c>
      <c r="S22" s="9">
        <v>2.415E-06</v>
      </c>
      <c r="T22" s="9">
        <v>2.415E-06</v>
      </c>
      <c r="U22" s="23">
        <v>1.5749999999999997E-06</v>
      </c>
      <c r="V22" s="126">
        <v>2.415E-06</v>
      </c>
      <c r="W22" s="129">
        <v>2.1000000000000002E-06</v>
      </c>
      <c r="Y22" s="23"/>
    </row>
    <row r="23" spans="1:25" ht="12.75">
      <c r="A23" s="14"/>
      <c r="B23" s="3" t="s">
        <v>10</v>
      </c>
      <c r="C23" s="6" t="s">
        <v>43</v>
      </c>
      <c r="D23" s="92">
        <v>0</v>
      </c>
      <c r="E23" s="9">
        <v>0</v>
      </c>
      <c r="F23" s="23">
        <v>0</v>
      </c>
      <c r="G23" s="23">
        <v>0</v>
      </c>
      <c r="H23" s="23">
        <v>0</v>
      </c>
      <c r="I23" s="23">
        <v>0</v>
      </c>
      <c r="J23" s="23">
        <v>0</v>
      </c>
      <c r="K23" s="9">
        <v>0</v>
      </c>
      <c r="L23" s="9">
        <v>0</v>
      </c>
      <c r="M23" s="9">
        <v>0</v>
      </c>
      <c r="N23" s="9">
        <v>0</v>
      </c>
      <c r="O23" s="9">
        <v>0</v>
      </c>
      <c r="P23" s="9">
        <v>0</v>
      </c>
      <c r="Q23" s="9">
        <v>0</v>
      </c>
      <c r="R23" s="9">
        <v>0.00016178400000000002</v>
      </c>
      <c r="S23" s="9">
        <v>0.00017577</v>
      </c>
      <c r="T23" s="9">
        <v>0.000324324</v>
      </c>
      <c r="U23" s="23">
        <v>0.00022566600000000002</v>
      </c>
      <c r="V23" s="126">
        <v>0.000280854</v>
      </c>
      <c r="W23" s="129">
        <v>0.00030277799999999997</v>
      </c>
      <c r="Y23" s="23"/>
    </row>
    <row r="24" spans="1:25" ht="12.75">
      <c r="A24" s="14"/>
      <c r="B24" s="3" t="s">
        <v>11</v>
      </c>
      <c r="C24" s="6" t="s">
        <v>44</v>
      </c>
      <c r="D24" s="92">
        <v>1.3450500000000001E-05</v>
      </c>
      <c r="E24" s="9">
        <v>1.3450500000000001E-05</v>
      </c>
      <c r="F24" s="23">
        <v>1.3450500000000001E-05</v>
      </c>
      <c r="G24" s="23">
        <v>1.3450500000000001E-05</v>
      </c>
      <c r="H24" s="23">
        <v>1.3450500000000001E-05</v>
      </c>
      <c r="I24" s="23">
        <v>1.3450500000000001E-05</v>
      </c>
      <c r="J24" s="23">
        <v>1.3450500000000001E-05</v>
      </c>
      <c r="K24" s="9">
        <v>1.3450500000000001E-05</v>
      </c>
      <c r="L24" s="9">
        <v>1.3450500000000001E-05</v>
      </c>
      <c r="M24" s="9">
        <v>1.3450500000000001E-05</v>
      </c>
      <c r="N24" s="9">
        <v>1.1655000000000001E-05</v>
      </c>
      <c r="O24" s="9">
        <v>1.0899E-05</v>
      </c>
      <c r="P24" s="9">
        <v>1.1969999999999999E-05</v>
      </c>
      <c r="Q24" s="9">
        <v>1.74825E-05</v>
      </c>
      <c r="R24" s="9">
        <v>1.74825E-05</v>
      </c>
      <c r="S24" s="9">
        <v>1.5057E-05</v>
      </c>
      <c r="T24" s="9">
        <v>2.0853E-05</v>
      </c>
      <c r="U24" s="23">
        <v>2.6207999999999997E-05</v>
      </c>
      <c r="V24" s="126">
        <v>1.93725E-05</v>
      </c>
      <c r="W24" s="129">
        <v>1.9624499999999998E-05</v>
      </c>
      <c r="Y24" s="23"/>
    </row>
    <row r="25" spans="1:25" ht="12.75">
      <c r="A25" s="14"/>
      <c r="B25" s="3" t="s">
        <v>12</v>
      </c>
      <c r="C25" s="6" t="s">
        <v>45</v>
      </c>
      <c r="D25" s="92">
        <v>0.004203276</v>
      </c>
      <c r="E25" s="9">
        <v>0.004203276</v>
      </c>
      <c r="F25" s="23">
        <v>0.004203276</v>
      </c>
      <c r="G25" s="23">
        <v>0.004203276</v>
      </c>
      <c r="H25" s="23">
        <v>0.004203276</v>
      </c>
      <c r="I25" s="23">
        <v>0.004203276</v>
      </c>
      <c r="J25" s="23">
        <v>0.004203276</v>
      </c>
      <c r="K25" s="9">
        <v>0.004203276</v>
      </c>
      <c r="L25" s="9">
        <v>0.004203276</v>
      </c>
      <c r="M25" s="9">
        <v>0.004203276</v>
      </c>
      <c r="N25" s="9">
        <v>0.004239312</v>
      </c>
      <c r="O25" s="9">
        <v>0.004206048</v>
      </c>
      <c r="P25" s="9">
        <v>0.0036682800000000003</v>
      </c>
      <c r="Q25" s="9">
        <v>0.0033402600000000003</v>
      </c>
      <c r="R25" s="9">
        <v>0.003186876</v>
      </c>
      <c r="S25" s="9">
        <v>0.002928156</v>
      </c>
      <c r="T25" s="9">
        <v>0.003107412</v>
      </c>
      <c r="U25" s="23">
        <v>0.0032996040000000003</v>
      </c>
      <c r="V25" s="126">
        <v>0.0028182000000000003</v>
      </c>
      <c r="W25" s="129">
        <v>0.002752596</v>
      </c>
      <c r="Y25" s="23"/>
    </row>
    <row r="26" spans="1:25" ht="12.75">
      <c r="A26" s="14"/>
      <c r="B26" s="3" t="s">
        <v>13</v>
      </c>
      <c r="C26" s="6" t="s">
        <v>46</v>
      </c>
      <c r="D26" s="92">
        <v>1.4582400000000001E-06</v>
      </c>
      <c r="E26" s="9">
        <v>1.4582400000000001E-06</v>
      </c>
      <c r="F26" s="23">
        <v>1.4582400000000001E-06</v>
      </c>
      <c r="G26" s="23">
        <v>1.4582400000000001E-06</v>
      </c>
      <c r="H26" s="23">
        <v>1.4582400000000001E-06</v>
      </c>
      <c r="I26" s="23">
        <v>1.4582400000000001E-06</v>
      </c>
      <c r="J26" s="23">
        <v>1.4582400000000001E-06</v>
      </c>
      <c r="K26" s="9">
        <v>1.4582400000000001E-06</v>
      </c>
      <c r="L26" s="9">
        <v>1.4582400000000001E-06</v>
      </c>
      <c r="M26" s="9">
        <v>1.4582400000000001E-06</v>
      </c>
      <c r="N26" s="9">
        <v>1.5582E-06</v>
      </c>
      <c r="O26" s="9">
        <v>1.5346800000000002E-06</v>
      </c>
      <c r="P26" s="9">
        <v>1.3524000000000002E-06</v>
      </c>
      <c r="Q26" s="9">
        <v>1.5170400000000003E-06</v>
      </c>
      <c r="R26" s="9">
        <v>1.5170400000000003E-06</v>
      </c>
      <c r="S26" s="9">
        <v>1.96392E-06</v>
      </c>
      <c r="T26" s="9">
        <v>3.29868E-06</v>
      </c>
      <c r="U26" s="23">
        <v>3.2398799999999995E-06</v>
      </c>
      <c r="V26" s="126">
        <v>4.13364E-06</v>
      </c>
      <c r="W26" s="129">
        <v>5.06268E-06</v>
      </c>
      <c r="Y26" s="23"/>
    </row>
    <row r="27" spans="1:25" ht="12.75">
      <c r="A27" s="14"/>
      <c r="B27" s="3" t="s">
        <v>14</v>
      </c>
      <c r="C27" s="6" t="s">
        <v>47</v>
      </c>
      <c r="D27" s="92">
        <v>2.1546E-07</v>
      </c>
      <c r="E27" s="9">
        <v>2.1546E-07</v>
      </c>
      <c r="F27" s="23">
        <v>2.1546E-07</v>
      </c>
      <c r="G27" s="23">
        <v>2.1546E-07</v>
      </c>
      <c r="H27" s="23">
        <v>2.1546E-07</v>
      </c>
      <c r="I27" s="23">
        <v>2.1546E-07</v>
      </c>
      <c r="J27" s="23">
        <v>2.1546E-07</v>
      </c>
      <c r="K27" s="9">
        <v>2.1546E-07</v>
      </c>
      <c r="L27" s="9">
        <v>2.1546E-07</v>
      </c>
      <c r="M27" s="9">
        <v>2.1546E-07</v>
      </c>
      <c r="N27" s="9">
        <v>2.079E-07</v>
      </c>
      <c r="O27" s="9">
        <v>2.4192E-07</v>
      </c>
      <c r="P27" s="9">
        <v>7.559999999999999E-08</v>
      </c>
      <c r="Q27" s="9">
        <v>7.559999999999999E-08</v>
      </c>
      <c r="R27" s="9">
        <v>7.559999999999999E-08</v>
      </c>
      <c r="S27" s="9">
        <v>8.694E-08</v>
      </c>
      <c r="T27" s="9">
        <v>8.694E-08</v>
      </c>
      <c r="U27" s="23">
        <v>5.669999999999999E-08</v>
      </c>
      <c r="V27" s="126">
        <v>8.694E-08</v>
      </c>
      <c r="W27" s="129">
        <v>7.559999999999999E-08</v>
      </c>
      <c r="Y27" s="23"/>
    </row>
    <row r="28" spans="1:25" ht="12.75">
      <c r="A28" s="14"/>
      <c r="B28" s="3" t="s">
        <v>15</v>
      </c>
      <c r="C28" s="6" t="s">
        <v>48</v>
      </c>
      <c r="D28" s="92">
        <v>0</v>
      </c>
      <c r="E28" s="9">
        <v>0</v>
      </c>
      <c r="F28" s="23">
        <v>0</v>
      </c>
      <c r="G28" s="23">
        <v>0</v>
      </c>
      <c r="H28" s="23">
        <v>0</v>
      </c>
      <c r="I28" s="23">
        <v>0</v>
      </c>
      <c r="J28" s="23">
        <v>0</v>
      </c>
      <c r="K28" s="9">
        <v>0</v>
      </c>
      <c r="L28" s="9">
        <v>0</v>
      </c>
      <c r="M28" s="9">
        <v>0</v>
      </c>
      <c r="N28" s="9">
        <v>0</v>
      </c>
      <c r="O28" s="9">
        <v>0</v>
      </c>
      <c r="P28" s="9">
        <v>0</v>
      </c>
      <c r="Q28" s="9">
        <v>0</v>
      </c>
      <c r="R28" s="9">
        <v>1.88748E-05</v>
      </c>
      <c r="S28" s="9">
        <v>2.05065E-05</v>
      </c>
      <c r="T28" s="9">
        <v>3.7837800000000006E-05</v>
      </c>
      <c r="U28" s="23">
        <v>2.63277E-05</v>
      </c>
      <c r="V28" s="126">
        <v>3.27663E-05</v>
      </c>
      <c r="W28" s="129">
        <v>3.53241E-05</v>
      </c>
      <c r="Y28" s="23"/>
    </row>
    <row r="29" spans="1:25" ht="12.75">
      <c r="A29" s="14"/>
      <c r="B29" s="3" t="s">
        <v>16</v>
      </c>
      <c r="C29" s="6" t="s">
        <v>49</v>
      </c>
      <c r="D29" s="92">
        <v>8.967000000000001E-05</v>
      </c>
      <c r="E29" s="9">
        <v>8.967000000000001E-05</v>
      </c>
      <c r="F29" s="23">
        <v>8.967000000000001E-05</v>
      </c>
      <c r="G29" s="23">
        <v>8.967000000000001E-05</v>
      </c>
      <c r="H29" s="23">
        <v>8.967000000000001E-05</v>
      </c>
      <c r="I29" s="23">
        <v>8.967000000000001E-05</v>
      </c>
      <c r="J29" s="23">
        <v>8.967000000000001E-05</v>
      </c>
      <c r="K29" s="9">
        <v>8.967000000000001E-05</v>
      </c>
      <c r="L29" s="9">
        <v>8.967000000000001E-05</v>
      </c>
      <c r="M29" s="9">
        <v>8.967000000000001E-05</v>
      </c>
      <c r="N29" s="9">
        <v>7.77E-05</v>
      </c>
      <c r="O29" s="9">
        <v>7.266E-05</v>
      </c>
      <c r="P29" s="9">
        <v>7.98E-05</v>
      </c>
      <c r="Q29" s="9">
        <v>0.00011655</v>
      </c>
      <c r="R29" s="9">
        <v>0.00011655</v>
      </c>
      <c r="S29" s="9">
        <v>0.00010038000000000001</v>
      </c>
      <c r="T29" s="9">
        <v>0.00013902</v>
      </c>
      <c r="U29" s="23">
        <v>0.00017471999999999998</v>
      </c>
      <c r="V29" s="126">
        <v>0.00012915000000000002</v>
      </c>
      <c r="W29" s="129">
        <v>0.00013083</v>
      </c>
      <c r="Y29" s="23"/>
    </row>
    <row r="30" spans="1:25" ht="12.75">
      <c r="A30" s="14"/>
      <c r="B30" s="3" t="s">
        <v>17</v>
      </c>
      <c r="C30" s="6" t="s">
        <v>50</v>
      </c>
      <c r="D30" s="92">
        <v>4.7071206000000014E-05</v>
      </c>
      <c r="E30" s="9">
        <v>4.7071206000000014E-05</v>
      </c>
      <c r="F30" s="23">
        <v>4.7071206000000014E-05</v>
      </c>
      <c r="G30" s="23">
        <v>4.7071206000000014E-05</v>
      </c>
      <c r="H30" s="23">
        <v>4.7071206000000014E-05</v>
      </c>
      <c r="I30" s="23">
        <v>4.7071206000000014E-05</v>
      </c>
      <c r="J30" s="23">
        <v>4.7071206000000014E-05</v>
      </c>
      <c r="K30" s="9">
        <v>4.7071206000000014E-05</v>
      </c>
      <c r="L30" s="9">
        <v>4.7071206000000014E-05</v>
      </c>
      <c r="M30" s="9">
        <v>4.7071206000000014E-05</v>
      </c>
      <c r="N30" s="9">
        <v>3.7990134E-05</v>
      </c>
      <c r="O30" s="9">
        <v>3.4309548000000005E-05</v>
      </c>
      <c r="P30" s="9">
        <v>3.6115443E-05</v>
      </c>
      <c r="Q30" s="9">
        <v>4.2031899000000004E-05</v>
      </c>
      <c r="R30" s="9">
        <v>4.2031899000000004E-05</v>
      </c>
      <c r="S30" s="9">
        <v>5.479110000000001E-05</v>
      </c>
      <c r="T30" s="9">
        <v>5.5655964000000005E-05</v>
      </c>
      <c r="U30" s="23">
        <v>5.400977400000001E-05</v>
      </c>
      <c r="V30" s="126">
        <v>6.324563700000001E-05</v>
      </c>
      <c r="W30" s="129">
        <v>5.0506092000000006E-05</v>
      </c>
      <c r="Y30" s="23"/>
    </row>
    <row r="31" spans="1:25" ht="12.75">
      <c r="A31" s="14"/>
      <c r="B31" s="3" t="s">
        <v>18</v>
      </c>
      <c r="C31" s="6" t="s">
        <v>51</v>
      </c>
      <c r="D31" s="92">
        <v>0.0010271866085136494</v>
      </c>
      <c r="E31" s="9">
        <v>0.0009611167789312781</v>
      </c>
      <c r="F31" s="23">
        <v>0.0010689251615774687</v>
      </c>
      <c r="G31" s="23">
        <v>0.0010602462907971732</v>
      </c>
      <c r="H31" s="23">
        <v>0.0011069575733164468</v>
      </c>
      <c r="I31" s="23">
        <v>0.0010570878075611104</v>
      </c>
      <c r="J31" s="23">
        <v>0.001086605424426718</v>
      </c>
      <c r="K31" s="9">
        <v>0.001121057210936748</v>
      </c>
      <c r="L31" s="9">
        <v>0.001153455181604417</v>
      </c>
      <c r="M31" s="9">
        <v>0.0011206443517649289</v>
      </c>
      <c r="N31" s="9">
        <v>0.0011505484148204737</v>
      </c>
      <c r="O31" s="9">
        <v>0.0011528088609200943</v>
      </c>
      <c r="P31" s="9">
        <v>0.0011583459634347097</v>
      </c>
      <c r="Q31" s="9">
        <v>0.0011607428778684147</v>
      </c>
      <c r="R31" s="9">
        <v>0.0011635032681595523</v>
      </c>
      <c r="S31" s="9">
        <v>0.0011723998704523371</v>
      </c>
      <c r="T31" s="9">
        <v>0.001182328217299665</v>
      </c>
      <c r="U31" s="23">
        <v>0.0011986154137570233</v>
      </c>
      <c r="V31" s="130">
        <v>0.0012078695506262298</v>
      </c>
      <c r="W31" s="131">
        <v>0.0012118305363153805</v>
      </c>
      <c r="Y31" s="23"/>
    </row>
    <row r="32" spans="1:25" ht="12.75">
      <c r="A32" s="13" t="s">
        <v>25</v>
      </c>
      <c r="B32" s="4"/>
      <c r="C32" s="2"/>
      <c r="D32" s="93">
        <f>SUM(D14:D31)</f>
        <v>0.021853185903506572</v>
      </c>
      <c r="E32" s="8">
        <f aca="true" t="shared" si="1" ref="E32:T32">SUM(E14:E31)</f>
        <v>0.021791058107921382</v>
      </c>
      <c r="F32" s="8">
        <f t="shared" si="1"/>
        <v>0.021010166516298907</v>
      </c>
      <c r="G32" s="8">
        <f t="shared" si="1"/>
        <v>0.021489713183078633</v>
      </c>
      <c r="H32" s="8">
        <f t="shared" si="1"/>
        <v>0.021206742757419225</v>
      </c>
      <c r="I32" s="8">
        <f t="shared" si="1"/>
        <v>0.021109452445853386</v>
      </c>
      <c r="J32" s="8">
        <f t="shared" si="1"/>
        <v>0.021100311668985555</v>
      </c>
      <c r="K32" s="8">
        <f t="shared" si="1"/>
        <v>0.020865664653460313</v>
      </c>
      <c r="L32" s="8">
        <f t="shared" si="1"/>
        <v>0.020903035561313118</v>
      </c>
      <c r="M32" s="8">
        <f t="shared" si="1"/>
        <v>0.020427884246654704</v>
      </c>
      <c r="N32" s="8">
        <f t="shared" si="1"/>
        <v>0.020666686799746373</v>
      </c>
      <c r="O32" s="8">
        <f t="shared" si="1"/>
        <v>0.020292712540535978</v>
      </c>
      <c r="P32" s="8">
        <f t="shared" si="1"/>
        <v>0.017942847040716522</v>
      </c>
      <c r="Q32" s="8">
        <f t="shared" si="1"/>
        <v>0.016371158141789206</v>
      </c>
      <c r="R32" s="8">
        <f t="shared" si="1"/>
        <v>0.015845544524825412</v>
      </c>
      <c r="S32" s="8">
        <f t="shared" si="1"/>
        <v>0.015205695832244698</v>
      </c>
      <c r="T32" s="8">
        <f t="shared" si="1"/>
        <v>0.016141330921996565</v>
      </c>
      <c r="U32" s="8">
        <f>SUM(U14:U31)</f>
        <v>0.016643958551080047</v>
      </c>
      <c r="V32" s="132">
        <f>SUM(V14:V31)</f>
        <v>0.014636946312883547</v>
      </c>
      <c r="W32" s="133">
        <f>SUM(W14:W31)</f>
        <v>0.01443302148161278</v>
      </c>
      <c r="Y32" s="23"/>
    </row>
    <row r="33" spans="1:25" ht="12.75">
      <c r="A33" s="13" t="s">
        <v>26</v>
      </c>
      <c r="B33" s="1" t="s">
        <v>0</v>
      </c>
      <c r="C33" s="2" t="s">
        <v>33</v>
      </c>
      <c r="D33" s="93">
        <v>0.0012283327264237499</v>
      </c>
      <c r="E33" s="8">
        <v>0.00124342997442375</v>
      </c>
      <c r="F33" s="8">
        <v>0.0015589055060512501</v>
      </c>
      <c r="G33" s="8">
        <v>0.0014232377398462502</v>
      </c>
      <c r="H33" s="8">
        <v>0.0014745662832225004</v>
      </c>
      <c r="I33" s="8">
        <v>0.00151449093107625</v>
      </c>
      <c r="J33" s="8">
        <v>0.0015111378694737498</v>
      </c>
      <c r="K33" s="8">
        <v>0.0013757153691849999</v>
      </c>
      <c r="L33" s="8">
        <v>0.0014667729362324998</v>
      </c>
      <c r="M33" s="8">
        <v>0.0014763405044787498</v>
      </c>
      <c r="N33" s="8">
        <v>0.0012337570741449999</v>
      </c>
      <c r="O33" s="8">
        <v>0.00112572600955625</v>
      </c>
      <c r="P33" s="8">
        <v>0.0011073985029545219</v>
      </c>
      <c r="Q33" s="8">
        <v>0.0009856750596879018</v>
      </c>
      <c r="R33" s="8">
        <v>0.0009772382510079515</v>
      </c>
      <c r="S33" s="8">
        <v>0.00088706829499</v>
      </c>
      <c r="T33" s="8">
        <v>0.00090949950253</v>
      </c>
      <c r="U33" s="8">
        <v>0.0010257587528071195</v>
      </c>
      <c r="V33" s="126">
        <v>0.000900691527942775</v>
      </c>
      <c r="W33" s="129">
        <v>0.000861546587942775</v>
      </c>
      <c r="Y33" s="23"/>
    </row>
    <row r="34" spans="1:25" ht="12.75">
      <c r="A34" s="14"/>
      <c r="B34" s="3" t="s">
        <v>1</v>
      </c>
      <c r="C34" s="6" t="s">
        <v>34</v>
      </c>
      <c r="D34" s="92">
        <v>9.938268620689658E-05</v>
      </c>
      <c r="E34" s="9">
        <v>9.938268620689658E-05</v>
      </c>
      <c r="F34" s="23">
        <v>9.938268620689658E-05</v>
      </c>
      <c r="G34" s="23">
        <v>9.223671019655174E-05</v>
      </c>
      <c r="H34" s="23">
        <v>0.00010644002949724142</v>
      </c>
      <c r="I34" s="23">
        <v>0.00010820334143793108</v>
      </c>
      <c r="J34" s="23">
        <v>0.00012332488014000004</v>
      </c>
      <c r="K34" s="9">
        <v>0.00017308122678000003</v>
      </c>
      <c r="L34" s="9">
        <v>0.00016427706372000003</v>
      </c>
      <c r="M34" s="9">
        <v>0.00011983776056821804</v>
      </c>
      <c r="N34" s="9">
        <v>0.00014039774205534006</v>
      </c>
      <c r="O34" s="9">
        <v>0.00013403157768</v>
      </c>
      <c r="P34" s="9">
        <v>0.00013533516612000007</v>
      </c>
      <c r="Q34" s="9">
        <v>0.00013482043344000002</v>
      </c>
      <c r="R34" s="9">
        <v>0.00013922487810000007</v>
      </c>
      <c r="S34" s="9">
        <v>0.00013175523900000005</v>
      </c>
      <c r="T34" s="9">
        <v>0.00013388205600000006</v>
      </c>
      <c r="U34" s="23">
        <v>0.00012527811450000005</v>
      </c>
      <c r="V34" s="126">
        <v>0.00012763050300000005</v>
      </c>
      <c r="W34" s="129">
        <v>0.00012763050300000005</v>
      </c>
      <c r="Y34" s="23"/>
    </row>
    <row r="35" spans="1:25" ht="12.75">
      <c r="A35" s="14"/>
      <c r="B35" s="3" t="s">
        <v>2</v>
      </c>
      <c r="C35" s="6" t="s">
        <v>35</v>
      </c>
      <c r="D35" s="92">
        <v>0.00043635007461282607</v>
      </c>
      <c r="E35" s="9">
        <v>0.00041996534140957466</v>
      </c>
      <c r="F35" s="23">
        <v>0.0004050512634782168</v>
      </c>
      <c r="G35" s="23">
        <v>0.00039972334111176963</v>
      </c>
      <c r="H35" s="23">
        <v>0.0003897599785592446</v>
      </c>
      <c r="I35" s="23">
        <v>0.00038612911898157316</v>
      </c>
      <c r="J35" s="23">
        <v>0.00038227816243953204</v>
      </c>
      <c r="K35" s="9">
        <v>0.00037735204245774176</v>
      </c>
      <c r="L35" s="9">
        <v>0.00040291997366356244</v>
      </c>
      <c r="M35" s="9">
        <v>0.0004169025266060818</v>
      </c>
      <c r="N35" s="9">
        <v>0.00047720410812857836</v>
      </c>
      <c r="O35" s="9">
        <v>0.00048440060190781586</v>
      </c>
      <c r="P35" s="9">
        <v>0.0004777317389755646</v>
      </c>
      <c r="Q35" s="9">
        <v>0.0004840949485227051</v>
      </c>
      <c r="R35" s="9">
        <v>0.0004752332324055218</v>
      </c>
      <c r="S35" s="9">
        <v>0.0004770516980970286</v>
      </c>
      <c r="T35" s="9">
        <v>0.0004564926967030331</v>
      </c>
      <c r="U35" s="23">
        <v>0.00048302312668422926</v>
      </c>
      <c r="V35" s="126">
        <v>0.0004971769348471225</v>
      </c>
      <c r="W35" s="129">
        <v>0.00041657436187125666</v>
      </c>
      <c r="Y35" s="23"/>
    </row>
    <row r="36" spans="1:25" ht="12.75">
      <c r="A36" s="14"/>
      <c r="B36" s="3" t="s">
        <v>3</v>
      </c>
      <c r="C36" s="6" t="s">
        <v>36</v>
      </c>
      <c r="D36" s="92">
        <v>0.001290071792806254</v>
      </c>
      <c r="E36" s="9">
        <v>0.001292756662615269</v>
      </c>
      <c r="F36" s="23">
        <v>0.0013174929029520237</v>
      </c>
      <c r="G36" s="23">
        <v>0.0014391523843297665</v>
      </c>
      <c r="H36" s="23">
        <v>0.0017601306804818546</v>
      </c>
      <c r="I36" s="23">
        <v>0.00217026631376397</v>
      </c>
      <c r="J36" s="23">
        <v>0.0018792572212527178</v>
      </c>
      <c r="K36" s="9">
        <v>0.0017705834651999645</v>
      </c>
      <c r="L36" s="9">
        <v>0.001829060863386433</v>
      </c>
      <c r="M36" s="9">
        <v>0.0016287402813475382</v>
      </c>
      <c r="N36" s="9">
        <v>0.0017528118844787378</v>
      </c>
      <c r="O36" s="9">
        <v>0.0016221089883893395</v>
      </c>
      <c r="P36" s="9">
        <v>0.0014967155572105607</v>
      </c>
      <c r="Q36" s="9">
        <v>0.0013906308255529423</v>
      </c>
      <c r="R36" s="9">
        <v>0.0012778975288610822</v>
      </c>
      <c r="S36" s="9">
        <v>0.0011781871817904866</v>
      </c>
      <c r="T36" s="9">
        <v>0.001142516986601852</v>
      </c>
      <c r="U36" s="23">
        <v>0.0010440727191916098</v>
      </c>
      <c r="V36" s="126">
        <v>0.0010263917537787271</v>
      </c>
      <c r="W36" s="129">
        <v>0.0009436036599822816</v>
      </c>
      <c r="Y36" s="23"/>
    </row>
    <row r="37" spans="1:25" ht="12.75">
      <c r="A37" s="14"/>
      <c r="B37" s="3" t="s">
        <v>4</v>
      </c>
      <c r="C37" s="6" t="s">
        <v>37</v>
      </c>
      <c r="D37" s="92">
        <v>0.0003832475304681283</v>
      </c>
      <c r="E37" s="9">
        <v>0.0003832475304681283</v>
      </c>
      <c r="F37" s="23">
        <v>0.0002505698142851861</v>
      </c>
      <c r="G37" s="23">
        <v>0.0003308391095145951</v>
      </c>
      <c r="H37" s="23">
        <v>0.0003012452896049687</v>
      </c>
      <c r="I37" s="23">
        <v>0.00029834615254113246</v>
      </c>
      <c r="J37" s="23">
        <v>0.0003187798093422</v>
      </c>
      <c r="K37" s="9">
        <v>0.00031535918341020003</v>
      </c>
      <c r="L37" s="9">
        <v>0.00035614670119020003</v>
      </c>
      <c r="M37" s="9">
        <v>0.000254793849659964</v>
      </c>
      <c r="N37" s="9">
        <v>0.000255870778179393</v>
      </c>
      <c r="O37" s="9">
        <v>0.00042401334745800003</v>
      </c>
      <c r="P37" s="9">
        <v>0.00035961768416699997</v>
      </c>
      <c r="Q37" s="9">
        <v>0.00022972179439951305</v>
      </c>
      <c r="R37" s="9">
        <v>0.0002693043528630667</v>
      </c>
      <c r="S37" s="9">
        <v>0.00021056170385970962</v>
      </c>
      <c r="T37" s="9">
        <v>0.00020546873497163704</v>
      </c>
      <c r="U37" s="23">
        <v>0.00029104327545787846</v>
      </c>
      <c r="V37" s="126">
        <v>0.00017964747929726625</v>
      </c>
      <c r="W37" s="129">
        <v>0.00017964747929726625</v>
      </c>
      <c r="Y37" s="23"/>
    </row>
    <row r="38" spans="1:25" ht="12.75">
      <c r="A38" s="14"/>
      <c r="B38" s="3" t="s">
        <v>5</v>
      </c>
      <c r="C38" s="6" t="s">
        <v>38</v>
      </c>
      <c r="D38" s="92">
        <v>0.000408975871617517</v>
      </c>
      <c r="E38" s="9">
        <v>0.000408975871617517</v>
      </c>
      <c r="F38" s="23">
        <v>0.0002942137605367171</v>
      </c>
      <c r="G38" s="23">
        <v>0.0003604108134400204</v>
      </c>
      <c r="H38" s="23">
        <v>0.0003219161936495982</v>
      </c>
      <c r="I38" s="23">
        <v>0.0003221856901968883</v>
      </c>
      <c r="J38" s="23">
        <v>0.00033230894027022156</v>
      </c>
      <c r="K38" s="9">
        <v>0.0003367129767997216</v>
      </c>
      <c r="L38" s="9">
        <v>0.0003809222525193466</v>
      </c>
      <c r="M38" s="9">
        <v>0.00028608596800927056</v>
      </c>
      <c r="N38" s="9">
        <v>0.0002880329442491221</v>
      </c>
      <c r="O38" s="9">
        <v>0.0002937346339652716</v>
      </c>
      <c r="P38" s="9">
        <v>0.00027049210739877157</v>
      </c>
      <c r="Q38" s="9">
        <v>0.0002557494769970996</v>
      </c>
      <c r="R38" s="9">
        <v>0.00025798360429121325</v>
      </c>
      <c r="S38" s="9">
        <v>0.00025082450456017865</v>
      </c>
      <c r="T38" s="9">
        <v>0.0002442228953534761</v>
      </c>
      <c r="U38" s="23">
        <v>0.0002499840842369675</v>
      </c>
      <c r="V38" s="126">
        <v>0.00024157230637913404</v>
      </c>
      <c r="W38" s="129">
        <v>0.00024157230637913404</v>
      </c>
      <c r="Y38" s="23"/>
    </row>
    <row r="39" spans="1:25" ht="12.75">
      <c r="A39" s="14"/>
      <c r="B39" s="3" t="s">
        <v>19</v>
      </c>
      <c r="C39" s="6" t="s">
        <v>52</v>
      </c>
      <c r="D39" s="92">
        <v>0.004610746226438066</v>
      </c>
      <c r="E39" s="9">
        <v>0.0046011475115305435</v>
      </c>
      <c r="F39" s="23">
        <v>0.004723696301621532</v>
      </c>
      <c r="G39" s="23">
        <v>0.004722593400837563</v>
      </c>
      <c r="H39" s="23">
        <v>0.004684674529142317</v>
      </c>
      <c r="I39" s="23">
        <v>0.0046930912502170415</v>
      </c>
      <c r="J39" s="23">
        <v>0.00472934674194275</v>
      </c>
      <c r="K39" s="9">
        <v>0.004755983176769281</v>
      </c>
      <c r="L39" s="9">
        <v>0.004690860855170647</v>
      </c>
      <c r="M39" s="9">
        <v>0.004677313850880076</v>
      </c>
      <c r="N39" s="9">
        <v>0.004823578877876346</v>
      </c>
      <c r="O39" s="9">
        <v>0.004764638467339598</v>
      </c>
      <c r="P39" s="9">
        <v>0.004225016714395945</v>
      </c>
      <c r="Q39" s="9">
        <v>0.0036471288766340916</v>
      </c>
      <c r="R39" s="9">
        <v>0.0034760815597681535</v>
      </c>
      <c r="S39" s="9">
        <v>0.00337183838740768</v>
      </c>
      <c r="T39" s="9">
        <v>0.0036281129370690306</v>
      </c>
      <c r="U39" s="23">
        <v>0.0037807354721702503</v>
      </c>
      <c r="V39" s="126">
        <v>0.0032737872360429484</v>
      </c>
      <c r="W39" s="129">
        <v>0.003230490794152363</v>
      </c>
      <c r="Y39" s="23"/>
    </row>
    <row r="40" spans="1:25" ht="12.75">
      <c r="A40" s="14"/>
      <c r="B40" s="3" t="s">
        <v>18</v>
      </c>
      <c r="C40" s="6" t="s">
        <v>51</v>
      </c>
      <c r="D40" s="92">
        <v>0</v>
      </c>
      <c r="E40" s="9">
        <v>0</v>
      </c>
      <c r="F40" s="23">
        <v>0</v>
      </c>
      <c r="G40" s="23">
        <v>0</v>
      </c>
      <c r="H40" s="23">
        <v>0</v>
      </c>
      <c r="I40" s="23">
        <v>0</v>
      </c>
      <c r="J40" s="23">
        <v>0</v>
      </c>
      <c r="K40" s="9">
        <v>0</v>
      </c>
      <c r="L40" s="9">
        <v>0</v>
      </c>
      <c r="M40" s="9">
        <v>0</v>
      </c>
      <c r="N40" s="9">
        <v>0</v>
      </c>
      <c r="O40" s="9">
        <v>0</v>
      </c>
      <c r="P40" s="9">
        <v>0</v>
      </c>
      <c r="Q40" s="9">
        <v>0</v>
      </c>
      <c r="R40" s="9">
        <v>0</v>
      </c>
      <c r="S40" s="9">
        <v>0</v>
      </c>
      <c r="T40" s="9">
        <v>0</v>
      </c>
      <c r="U40" s="23">
        <v>0</v>
      </c>
      <c r="V40" s="126">
        <v>0</v>
      </c>
      <c r="W40" s="129">
        <v>0</v>
      </c>
      <c r="Y40" s="23"/>
    </row>
    <row r="41" spans="1:25" ht="12.75">
      <c r="A41" s="13" t="s">
        <v>27</v>
      </c>
      <c r="B41" s="4"/>
      <c r="C41" s="2"/>
      <c r="D41" s="93">
        <f>SUM(D33:D40)</f>
        <v>0.008457106908573438</v>
      </c>
      <c r="E41" s="8">
        <f aca="true" t="shared" si="2" ref="E41:T41">SUM(E33:E40)</f>
        <v>0.008448905578271678</v>
      </c>
      <c r="F41" s="8">
        <f t="shared" si="2"/>
        <v>0.008649312235131823</v>
      </c>
      <c r="G41" s="8">
        <f t="shared" si="2"/>
        <v>0.008768193499276516</v>
      </c>
      <c r="H41" s="8">
        <f t="shared" si="2"/>
        <v>0.009038732984157725</v>
      </c>
      <c r="I41" s="8">
        <f t="shared" si="2"/>
        <v>0.009492712798214786</v>
      </c>
      <c r="J41" s="8">
        <f t="shared" si="2"/>
        <v>0.00927643362486117</v>
      </c>
      <c r="K41" s="8">
        <f t="shared" si="2"/>
        <v>0.009104787440601909</v>
      </c>
      <c r="L41" s="8">
        <f t="shared" si="2"/>
        <v>0.009290960645882688</v>
      </c>
      <c r="M41" s="8">
        <f t="shared" si="2"/>
        <v>0.008860014741549897</v>
      </c>
      <c r="N41" s="8">
        <f t="shared" si="2"/>
        <v>0.008971653409112518</v>
      </c>
      <c r="O41" s="8">
        <f t="shared" si="2"/>
        <v>0.008848653626296275</v>
      </c>
      <c r="P41" s="8">
        <f t="shared" si="2"/>
        <v>0.008072307471222364</v>
      </c>
      <c r="Q41" s="8">
        <f t="shared" si="2"/>
        <v>0.007127821415234254</v>
      </c>
      <c r="R41" s="8">
        <f t="shared" si="2"/>
        <v>0.006872963407296989</v>
      </c>
      <c r="S41" s="8">
        <f t="shared" si="2"/>
        <v>0.006507287009705084</v>
      </c>
      <c r="T41" s="8">
        <f t="shared" si="2"/>
        <v>0.006720195809229029</v>
      </c>
      <c r="U41" s="8">
        <f>SUM(U33:U40)</f>
        <v>0.006999895545048054</v>
      </c>
      <c r="V41" s="130">
        <f>SUM(V33:V40)</f>
        <v>0.006246897741287973</v>
      </c>
      <c r="W41" s="131">
        <f>SUM(W33:W40)</f>
        <v>0.006001065692625077</v>
      </c>
      <c r="Y41" s="23"/>
    </row>
    <row r="42" spans="1:28" ht="12.75">
      <c r="A42" s="13" t="s">
        <v>28</v>
      </c>
      <c r="B42" s="4"/>
      <c r="C42" s="2"/>
      <c r="D42" s="93">
        <v>1.731808919560049E-05</v>
      </c>
      <c r="E42" s="8">
        <v>1.7390620596729447E-05</v>
      </c>
      <c r="F42" s="8">
        <v>1.9070526028016364E-05</v>
      </c>
      <c r="G42" s="8">
        <v>0.0009128077581331352</v>
      </c>
      <c r="H42" s="8">
        <v>0.0019959985462852403</v>
      </c>
      <c r="I42" s="8">
        <v>0.0034382259971693875</v>
      </c>
      <c r="J42" s="8">
        <v>0.005060557722604945</v>
      </c>
      <c r="K42" s="8">
        <v>0.0068465500677531025</v>
      </c>
      <c r="L42" s="8">
        <v>0.00897250008394417</v>
      </c>
      <c r="M42" s="8">
        <v>0.010181252066002223</v>
      </c>
      <c r="N42" s="8">
        <v>0.01202445875394559</v>
      </c>
      <c r="O42" s="8">
        <v>0.013705980655664734</v>
      </c>
      <c r="P42" s="8">
        <v>0.015655080867904164</v>
      </c>
      <c r="Q42" s="8">
        <v>0.016864420993167567</v>
      </c>
      <c r="R42" s="8">
        <v>0.017669007054273923</v>
      </c>
      <c r="S42" s="8">
        <v>0.018384400539449487</v>
      </c>
      <c r="T42" s="8">
        <v>0.01865648990560783</v>
      </c>
      <c r="U42" s="8">
        <v>0.018970177764128477</v>
      </c>
      <c r="V42" s="130">
        <v>0.01909433360271876</v>
      </c>
      <c r="W42" s="131">
        <v>0.018724566921300003</v>
      </c>
      <c r="Y42" s="23"/>
      <c r="AB42" t="s">
        <v>64</v>
      </c>
    </row>
    <row r="43" spans="1:25" ht="12.75">
      <c r="A43" s="13" t="s">
        <v>29</v>
      </c>
      <c r="B43" s="4"/>
      <c r="C43" s="2"/>
      <c r="D43" s="93">
        <v>3.3316808900414943E-05</v>
      </c>
      <c r="E43" s="8">
        <v>3.328466021710971E-05</v>
      </c>
      <c r="F43" s="8">
        <v>3.329710137549053E-05</v>
      </c>
      <c r="G43" s="8">
        <v>3.344033420213744E-05</v>
      </c>
      <c r="H43" s="8">
        <v>3.364905239762702E-05</v>
      </c>
      <c r="I43" s="8">
        <v>3.499351821461036E-05</v>
      </c>
      <c r="J43" s="8">
        <v>3.710316492452771E-05</v>
      </c>
      <c r="K43" s="8">
        <v>3.998659250177791E-05</v>
      </c>
      <c r="L43" s="8">
        <v>8.835268549606858E-06</v>
      </c>
      <c r="M43" s="8">
        <v>1.1898751040507892E-05</v>
      </c>
      <c r="N43" s="8">
        <v>1.3392499875771267E-05</v>
      </c>
      <c r="O43" s="8">
        <v>1.4146733095773417E-05</v>
      </c>
      <c r="P43" s="8">
        <v>1.4289170563116694E-05</v>
      </c>
      <c r="Q43" s="8">
        <v>1.3914471512971426E-05</v>
      </c>
      <c r="R43" s="8">
        <v>1.2611898115712505E-05</v>
      </c>
      <c r="S43" s="8">
        <v>1.0726791046101258E-05</v>
      </c>
      <c r="T43" s="8">
        <v>8.975734360474694E-06</v>
      </c>
      <c r="U43" s="8">
        <v>6.993996370996389E-06</v>
      </c>
      <c r="V43" s="130">
        <v>5.506157510263946E-06</v>
      </c>
      <c r="W43" s="131">
        <v>5.264632134790335E-06</v>
      </c>
      <c r="Y43" s="23"/>
    </row>
    <row r="44" spans="1:25" ht="12.75">
      <c r="A44" s="13" t="s">
        <v>53</v>
      </c>
      <c r="B44" s="4"/>
      <c r="C44" s="2"/>
      <c r="D44" s="93">
        <v>0</v>
      </c>
      <c r="E44" s="8">
        <v>0</v>
      </c>
      <c r="F44" s="8">
        <v>0</v>
      </c>
      <c r="G44" s="8">
        <v>0</v>
      </c>
      <c r="H44" s="8">
        <v>0</v>
      </c>
      <c r="I44" s="8">
        <v>0</v>
      </c>
      <c r="J44" s="8">
        <v>0</v>
      </c>
      <c r="K44" s="8">
        <v>0</v>
      </c>
      <c r="L44" s="8">
        <v>6.742520944944113E-05</v>
      </c>
      <c r="M44" s="8">
        <v>8.920069111607211E-05</v>
      </c>
      <c r="N44" s="8">
        <v>8.738851516682669E-05</v>
      </c>
      <c r="O44" s="8">
        <v>8.679002429859509E-05</v>
      </c>
      <c r="P44" s="8">
        <v>0.00012873792067068205</v>
      </c>
      <c r="Q44" s="8">
        <v>0.00015736813852516545</v>
      </c>
      <c r="R44" s="8">
        <v>0.00029957830764069124</v>
      </c>
      <c r="S44" s="8">
        <v>0.00046957785853935007</v>
      </c>
      <c r="T44" s="8">
        <v>0.00025284600247948004</v>
      </c>
      <c r="U44" s="8">
        <v>0.00018098422346586715</v>
      </c>
      <c r="V44" s="130">
        <v>0.0001499482805908805</v>
      </c>
      <c r="W44" s="131">
        <v>0.00014996540981235433</v>
      </c>
      <c r="Y44" s="23"/>
    </row>
    <row r="45" spans="1:25" ht="12.75">
      <c r="A45" s="15" t="s">
        <v>20</v>
      </c>
      <c r="B45" s="5"/>
      <c r="C45" s="7"/>
      <c r="D45" s="94">
        <f>D44+D43+D42+D41+D32+D13</f>
        <v>0.6120557695900393</v>
      </c>
      <c r="E45" s="10">
        <f aca="true" t="shared" si="3" ref="E45:T45">E44+E43+E42+E41+E32+E13</f>
        <v>0.6102881470362762</v>
      </c>
      <c r="F45" s="10">
        <f t="shared" si="3"/>
        <v>0.7058455436638014</v>
      </c>
      <c r="G45" s="10">
        <f t="shared" si="3"/>
        <v>0.6597359388067577</v>
      </c>
      <c r="H45" s="10">
        <f t="shared" si="3"/>
        <v>0.6842663320345659</v>
      </c>
      <c r="I45" s="10">
        <f t="shared" si="3"/>
        <v>0.692812531083133</v>
      </c>
      <c r="J45" s="10">
        <f t="shared" si="3"/>
        <v>0.6982702529961612</v>
      </c>
      <c r="K45" s="10">
        <f t="shared" si="3"/>
        <v>0.6679129028045276</v>
      </c>
      <c r="L45" s="10">
        <f t="shared" si="3"/>
        <v>0.7389679307494367</v>
      </c>
      <c r="M45" s="10">
        <f t="shared" si="3"/>
        <v>0.6411168367163382</v>
      </c>
      <c r="N45" s="10">
        <f t="shared" si="3"/>
        <v>0.5600086432329854</v>
      </c>
      <c r="O45" s="10">
        <f t="shared" si="3"/>
        <v>0.6003878209452794</v>
      </c>
      <c r="P45" s="10">
        <f t="shared" si="3"/>
        <v>0.5657511154393687</v>
      </c>
      <c r="Q45" s="10">
        <f t="shared" si="3"/>
        <v>0.45726071361994497</v>
      </c>
      <c r="R45" s="10">
        <f t="shared" si="3"/>
        <v>0.4893147239972879</v>
      </c>
      <c r="S45" s="10">
        <f t="shared" si="3"/>
        <v>0.44425788120622123</v>
      </c>
      <c r="T45" s="10">
        <f t="shared" si="3"/>
        <v>0.45475660748800295</v>
      </c>
      <c r="U45" s="10">
        <f>U44+U43+U42+U41+U32+U13</f>
        <v>0.535587748125802</v>
      </c>
      <c r="V45" s="132">
        <f>V13+V32+V41+V42+V43+V44</f>
        <v>0.4489402136301662</v>
      </c>
      <c r="W45" s="133">
        <f>W13+W32+W41+W42+W43+W44</f>
        <v>0.4387509940961856</v>
      </c>
      <c r="Y45" s="23"/>
    </row>
    <row r="46" spans="8:25" ht="12.75">
      <c r="H46" s="24"/>
      <c r="I46" s="17"/>
      <c r="Y46" s="6"/>
    </row>
    <row r="47" spans="4:25" s="83" customFormat="1" ht="12.75">
      <c r="D47" s="95"/>
      <c r="G47" s="84"/>
      <c r="H47" s="84"/>
      <c r="I47" s="84"/>
      <c r="J47" s="84"/>
      <c r="Y47" s="223"/>
    </row>
    <row r="48" spans="1:25" ht="15.75">
      <c r="A48" s="16" t="s">
        <v>55</v>
      </c>
      <c r="E48" s="20"/>
      <c r="G48" s="20"/>
      <c r="H48" s="20"/>
      <c r="I48" s="20"/>
      <c r="J48" s="20"/>
      <c r="Y48" s="111"/>
    </row>
    <row r="49" spans="1:25" ht="13.5" thickBot="1">
      <c r="A49" s="18"/>
      <c r="B49" s="18"/>
      <c r="F49" s="20"/>
      <c r="G49" s="20"/>
      <c r="H49" s="20"/>
      <c r="I49" s="20"/>
      <c r="J49" s="20"/>
      <c r="K49" s="20"/>
      <c r="L49" s="20"/>
      <c r="V49" s="18"/>
      <c r="W49" s="18"/>
      <c r="Y49" s="224"/>
    </row>
    <row r="50" spans="1:117" s="55" customFormat="1" ht="26.25" thickBot="1">
      <c r="A50" s="56" t="s">
        <v>21</v>
      </c>
      <c r="B50" s="57" t="s">
        <v>31</v>
      </c>
      <c r="C50" s="58" t="s">
        <v>32</v>
      </c>
      <c r="D50" s="59">
        <v>1990</v>
      </c>
      <c r="E50" s="59">
        <v>1991</v>
      </c>
      <c r="F50" s="59">
        <v>1992</v>
      </c>
      <c r="G50" s="60">
        <v>1993</v>
      </c>
      <c r="H50" s="59">
        <v>1994</v>
      </c>
      <c r="I50" s="59">
        <v>1995</v>
      </c>
      <c r="J50" s="61">
        <v>1996</v>
      </c>
      <c r="K50" s="59">
        <v>1997</v>
      </c>
      <c r="L50" s="59">
        <v>1998</v>
      </c>
      <c r="M50" s="59">
        <v>1999</v>
      </c>
      <c r="N50" s="59">
        <v>2000</v>
      </c>
      <c r="O50" s="59">
        <v>2001</v>
      </c>
      <c r="P50" s="59">
        <v>2002</v>
      </c>
      <c r="Q50" s="59">
        <v>2003</v>
      </c>
      <c r="R50" s="59">
        <v>2004</v>
      </c>
      <c r="S50" s="59">
        <v>2005</v>
      </c>
      <c r="T50" s="59">
        <v>2006</v>
      </c>
      <c r="U50" s="59">
        <v>2007</v>
      </c>
      <c r="V50" s="59">
        <v>2008</v>
      </c>
      <c r="W50" s="59">
        <v>2009</v>
      </c>
      <c r="X50" s="59">
        <v>2010</v>
      </c>
      <c r="Y50" s="59">
        <v>2011</v>
      </c>
      <c r="Z50" s="59">
        <v>2012</v>
      </c>
      <c r="AA50" s="59">
        <v>2013</v>
      </c>
      <c r="AB50" s="59">
        <v>2014</v>
      </c>
      <c r="AC50" s="59">
        <v>2015</v>
      </c>
      <c r="AD50" s="59">
        <v>2016</v>
      </c>
      <c r="AE50" s="59">
        <v>2017</v>
      </c>
      <c r="AF50" s="59">
        <v>2018</v>
      </c>
      <c r="AG50" s="59">
        <v>2019</v>
      </c>
      <c r="AH50" s="59">
        <v>2020</v>
      </c>
      <c r="AI50" s="59">
        <v>2021</v>
      </c>
      <c r="AJ50" s="59">
        <v>2022</v>
      </c>
      <c r="AK50" s="59">
        <v>2023</v>
      </c>
      <c r="AL50" s="59">
        <v>2024</v>
      </c>
      <c r="AM50" s="59">
        <v>2025</v>
      </c>
      <c r="AN50" s="59">
        <v>2026</v>
      </c>
      <c r="AO50" s="59">
        <v>2027</v>
      </c>
      <c r="AP50" s="59">
        <v>2028</v>
      </c>
      <c r="AQ50" s="59">
        <v>2029</v>
      </c>
      <c r="AR50" s="59">
        <v>2030</v>
      </c>
      <c r="AS50" s="59">
        <v>2031</v>
      </c>
      <c r="AT50" s="59">
        <v>2032</v>
      </c>
      <c r="AU50" s="59">
        <v>2033</v>
      </c>
      <c r="AV50" s="59">
        <v>2034</v>
      </c>
      <c r="AW50" s="59">
        <v>2035</v>
      </c>
      <c r="AX50" s="59">
        <v>2036</v>
      </c>
      <c r="AY50" s="59">
        <v>2037</v>
      </c>
      <c r="AZ50" s="59">
        <v>2038</v>
      </c>
      <c r="BA50" s="59">
        <v>2039</v>
      </c>
      <c r="BB50" s="59">
        <v>2040</v>
      </c>
      <c r="BC50" s="59">
        <v>2041</v>
      </c>
      <c r="BD50" s="59">
        <v>2042</v>
      </c>
      <c r="BE50" s="59">
        <v>2043</v>
      </c>
      <c r="BF50" s="59">
        <v>2044</v>
      </c>
      <c r="BG50" s="59">
        <v>2045</v>
      </c>
      <c r="BH50" s="59">
        <v>2046</v>
      </c>
      <c r="BI50" s="59">
        <v>2047</v>
      </c>
      <c r="BJ50" s="62">
        <v>2048</v>
      </c>
      <c r="BK50" s="62">
        <v>2049</v>
      </c>
      <c r="BL50" s="62">
        <v>2050</v>
      </c>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row>
    <row r="51" spans="1:117" ht="12.75">
      <c r="A51" s="28" t="s">
        <v>22</v>
      </c>
      <c r="B51" s="2" t="s">
        <v>0</v>
      </c>
      <c r="C51" s="32" t="s">
        <v>33</v>
      </c>
      <c r="D51" s="96">
        <f>(D6*1000000)</f>
        <v>208148.13891666668</v>
      </c>
      <c r="E51" s="19">
        <f>(E6*1000000)</f>
        <v>208693.120625</v>
      </c>
      <c r="F51" s="19">
        <f>(F6*1000000)</f>
        <v>325995.33449999994</v>
      </c>
      <c r="G51" s="19">
        <f>(G6*1000000)</f>
        <v>267358.75649999996</v>
      </c>
      <c r="H51" s="19">
        <f>(H6*1000000)</f>
        <v>281887.221</v>
      </c>
      <c r="I51" s="19">
        <f aca="true" t="shared" si="4" ref="I51:T51">(I6*1000000)</f>
        <v>291953.74450000003</v>
      </c>
      <c r="J51" s="21">
        <f t="shared" si="4"/>
        <v>279658.34049999993</v>
      </c>
      <c r="K51" s="19">
        <f t="shared" si="4"/>
        <v>216309.12233333333</v>
      </c>
      <c r="L51" s="19">
        <f t="shared" si="4"/>
        <v>241694.06891666667</v>
      </c>
      <c r="M51" s="19">
        <f t="shared" si="4"/>
        <v>235045.40949999998</v>
      </c>
      <c r="N51" s="19">
        <f t="shared" si="4"/>
        <v>128268.13083333333</v>
      </c>
      <c r="O51" s="19">
        <f t="shared" si="4"/>
        <v>97820.628125</v>
      </c>
      <c r="P51" s="19">
        <f t="shared" si="4"/>
        <v>83328.74058365576</v>
      </c>
      <c r="Q51" s="19">
        <f t="shared" si="4"/>
        <v>33075.69750730868</v>
      </c>
      <c r="R51" s="19">
        <f t="shared" si="4"/>
        <v>49320.668440025795</v>
      </c>
      <c r="S51" s="19">
        <f t="shared" si="4"/>
        <v>31279.497121877463</v>
      </c>
      <c r="T51" s="19">
        <f t="shared" si="4"/>
        <v>36884.88443647443</v>
      </c>
      <c r="U51" s="19">
        <f>(U6*1000000)</f>
        <v>79711.61978373736</v>
      </c>
      <c r="V51" s="19">
        <f>(V6*1000000)</f>
        <v>38233.68503623485</v>
      </c>
      <c r="W51" s="19">
        <f>(W6*1000000)</f>
        <v>37370.33997795057</v>
      </c>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row>
    <row r="52" spans="1:117" ht="12.75">
      <c r="A52" s="29"/>
      <c r="B52" s="6" t="s">
        <v>1</v>
      </c>
      <c r="C52" s="33" t="s">
        <v>34</v>
      </c>
      <c r="D52" s="96">
        <f aca="true" t="shared" si="5" ref="D52:K90">(D7*1000000)</f>
        <v>36426.74835796388</v>
      </c>
      <c r="E52" s="19">
        <f t="shared" si="5"/>
        <v>36426.74835796388</v>
      </c>
      <c r="F52" s="19">
        <f t="shared" si="5"/>
        <v>36426.74835796388</v>
      </c>
      <c r="G52" s="19">
        <f t="shared" si="5"/>
        <v>33807.53288054187</v>
      </c>
      <c r="H52" s="19">
        <f t="shared" si="5"/>
        <v>39013.47727348112</v>
      </c>
      <c r="I52" s="19">
        <f t="shared" si="5"/>
        <v>39659.78421880132</v>
      </c>
      <c r="J52" s="21">
        <f t="shared" si="5"/>
        <v>45202.28368333333</v>
      </c>
      <c r="K52" s="19">
        <f t="shared" si="5"/>
        <v>63439.483616666665</v>
      </c>
      <c r="L52" s="19">
        <f aca="true" t="shared" si="6" ref="L52:T52">(L7*1000000)</f>
        <v>60212.49263333333</v>
      </c>
      <c r="M52" s="19">
        <f t="shared" si="6"/>
        <v>43924.14931221166</v>
      </c>
      <c r="N52" s="19">
        <f t="shared" si="6"/>
        <v>51460.00188835</v>
      </c>
      <c r="O52" s="19">
        <f t="shared" si="6"/>
        <v>49126.61086666667</v>
      </c>
      <c r="P52" s="19">
        <f t="shared" si="6"/>
        <v>49604.41529999999</v>
      </c>
      <c r="Q52" s="19">
        <f t="shared" si="6"/>
        <v>49415.75026666666</v>
      </c>
      <c r="R52" s="19">
        <f t="shared" si="6"/>
        <v>51030.11191666667</v>
      </c>
      <c r="S52" s="19">
        <f t="shared" si="6"/>
        <v>48292.26416666667</v>
      </c>
      <c r="T52" s="19">
        <f t="shared" si="6"/>
        <v>49071.806666666664</v>
      </c>
      <c r="U52" s="19">
        <f aca="true" t="shared" si="7" ref="U52:V71">(U7*1000000)</f>
        <v>45918.20291666666</v>
      </c>
      <c r="V52" s="19">
        <f t="shared" si="7"/>
        <v>46780.424166666664</v>
      </c>
      <c r="W52" s="19">
        <f aca="true" t="shared" si="8" ref="W52:W90">(W7*1000000)</f>
        <v>46780.424166666664</v>
      </c>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row>
    <row r="53" spans="1:117" ht="12.75">
      <c r="A53" s="29"/>
      <c r="B53" s="6" t="s">
        <v>2</v>
      </c>
      <c r="C53" s="33" t="s">
        <v>35</v>
      </c>
      <c r="D53" s="96">
        <f t="shared" si="5"/>
        <v>44352.1433929806</v>
      </c>
      <c r="E53" s="19">
        <f t="shared" si="5"/>
        <v>42684.68267930799</v>
      </c>
      <c r="F53" s="19">
        <f t="shared" si="5"/>
        <v>41171.21962035571</v>
      </c>
      <c r="G53" s="19">
        <f t="shared" si="5"/>
        <v>40630.341363817424</v>
      </c>
      <c r="H53" s="19">
        <f t="shared" si="5"/>
        <v>39621.83654314105</v>
      </c>
      <c r="I53" s="19">
        <f t="shared" si="5"/>
        <v>39253.81702434749</v>
      </c>
      <c r="J53" s="21">
        <f t="shared" si="5"/>
        <v>38866.884541318854</v>
      </c>
      <c r="K53" s="19">
        <f t="shared" si="5"/>
        <v>38367.19136913672</v>
      </c>
      <c r="L53" s="19">
        <f aca="true" t="shared" si="9" ref="L53:T53">(L8*1000000)</f>
        <v>40963.736213307384</v>
      </c>
      <c r="M53" s="19">
        <f t="shared" si="9"/>
        <v>42391.1289068461</v>
      </c>
      <c r="N53" s="19">
        <f t="shared" si="9"/>
        <v>48522.47925097843</v>
      </c>
      <c r="O53" s="19">
        <f t="shared" si="9"/>
        <v>49259.91323472689</v>
      </c>
      <c r="P53" s="19">
        <f t="shared" si="9"/>
        <v>48574.97666509536</v>
      </c>
      <c r="Q53" s="19">
        <f t="shared" si="9"/>
        <v>49221.029764734405</v>
      </c>
      <c r="R53" s="19">
        <f t="shared" si="9"/>
        <v>48320.267191735154</v>
      </c>
      <c r="S53" s="19">
        <f t="shared" si="9"/>
        <v>48508.38505776793</v>
      </c>
      <c r="T53" s="19">
        <f t="shared" si="9"/>
        <v>46415.52659314663</v>
      </c>
      <c r="U53" s="19">
        <f t="shared" si="7"/>
        <v>49103.03821732499</v>
      </c>
      <c r="V53" s="19">
        <f t="shared" si="7"/>
        <v>50540.64227278999</v>
      </c>
      <c r="W53" s="19">
        <f t="shared" si="8"/>
        <v>42342.58006128793</v>
      </c>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row>
    <row r="54" spans="1:117" ht="12.75">
      <c r="A54" s="29"/>
      <c r="B54" s="6" t="s">
        <v>3</v>
      </c>
      <c r="C54" s="33" t="s">
        <v>36</v>
      </c>
      <c r="D54" s="96">
        <f t="shared" si="5"/>
        <v>120112.37865950623</v>
      </c>
      <c r="E54" s="19">
        <f t="shared" si="5"/>
        <v>120112.37865950624</v>
      </c>
      <c r="F54" s="19">
        <f t="shared" si="5"/>
        <v>122200.54088294796</v>
      </c>
      <c r="G54" s="19">
        <f t="shared" si="5"/>
        <v>125884.74406085929</v>
      </c>
      <c r="H54" s="19">
        <f t="shared" si="5"/>
        <v>130932.52994587451</v>
      </c>
      <c r="I54" s="19">
        <f t="shared" si="5"/>
        <v>130670.14217675124</v>
      </c>
      <c r="J54" s="21">
        <f t="shared" si="5"/>
        <v>128034.89489999997</v>
      </c>
      <c r="K54" s="19">
        <f t="shared" si="5"/>
        <v>123993.72315000002</v>
      </c>
      <c r="L54" s="19">
        <f aca="true" t="shared" si="10" ref="L54:T54">(L9*1000000)</f>
        <v>128137.69031250002</v>
      </c>
      <c r="M54" s="19">
        <f t="shared" si="10"/>
        <v>116714.12101176666</v>
      </c>
      <c r="N54" s="19">
        <f t="shared" si="10"/>
        <v>126847.26806436664</v>
      </c>
      <c r="O54" s="19">
        <f t="shared" si="10"/>
        <v>127851.82116666666</v>
      </c>
      <c r="P54" s="19">
        <f t="shared" si="10"/>
        <v>126398.33715933787</v>
      </c>
      <c r="Q54" s="19">
        <f t="shared" si="10"/>
        <v>125104.10141969017</v>
      </c>
      <c r="R54" s="19">
        <f t="shared" si="10"/>
        <v>122072.57270506339</v>
      </c>
      <c r="S54" s="19">
        <f t="shared" si="10"/>
        <v>120372.08590716803</v>
      </c>
      <c r="T54" s="19">
        <f t="shared" si="10"/>
        <v>122046.05971947373</v>
      </c>
      <c r="U54" s="19">
        <f t="shared" si="7"/>
        <v>118644.51091718044</v>
      </c>
      <c r="V54" s="19">
        <f t="shared" si="7"/>
        <v>121366.76550453003</v>
      </c>
      <c r="W54" s="19">
        <f t="shared" si="8"/>
        <v>121040.36264685549</v>
      </c>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row>
    <row r="55" spans="1:117" ht="12.75">
      <c r="A55" s="29"/>
      <c r="B55" s="6" t="s">
        <v>4</v>
      </c>
      <c r="C55" s="33" t="s">
        <v>37</v>
      </c>
      <c r="D55" s="96">
        <f t="shared" si="5"/>
        <v>61707.50026447137</v>
      </c>
      <c r="E55" s="19">
        <f t="shared" si="5"/>
        <v>61727.12505921685</v>
      </c>
      <c r="F55" s="19">
        <f t="shared" si="5"/>
        <v>54206.870347653785</v>
      </c>
      <c r="G55" s="19">
        <f t="shared" si="5"/>
        <v>59168.033855853006</v>
      </c>
      <c r="H55" s="19">
        <f t="shared" si="5"/>
        <v>63220.63383386659</v>
      </c>
      <c r="I55" s="19">
        <f t="shared" si="5"/>
        <v>61786.52822883304</v>
      </c>
      <c r="J55" s="21">
        <f t="shared" si="5"/>
        <v>69012.3933464</v>
      </c>
      <c r="K55" s="19">
        <f t="shared" si="5"/>
        <v>76120.86190746665</v>
      </c>
      <c r="L55" s="19">
        <f aca="true" t="shared" si="11" ref="L55:T55">(L10*1000000)</f>
        <v>94944.2487112</v>
      </c>
      <c r="M55" s="19">
        <f t="shared" si="11"/>
        <v>61391.57056002667</v>
      </c>
      <c r="N55" s="19">
        <f t="shared" si="11"/>
        <v>62526.67920604667</v>
      </c>
      <c r="O55" s="19">
        <f t="shared" si="11"/>
        <v>131385.9246133333</v>
      </c>
      <c r="P55" s="19">
        <f t="shared" si="11"/>
        <v>113922.83975799997</v>
      </c>
      <c r="Q55" s="19">
        <f t="shared" si="11"/>
        <v>63731.918792900025</v>
      </c>
      <c r="R55" s="19">
        <f t="shared" si="11"/>
        <v>79043.68285108326</v>
      </c>
      <c r="S55" s="19">
        <f t="shared" si="11"/>
        <v>57493.64145863327</v>
      </c>
      <c r="T55" s="19">
        <f t="shared" si="11"/>
        <v>60206.76932807272</v>
      </c>
      <c r="U55" s="19">
        <f t="shared" si="7"/>
        <v>97639.82578438064</v>
      </c>
      <c r="V55" s="19">
        <f t="shared" si="7"/>
        <v>53290.52384320684</v>
      </c>
      <c r="W55" s="19">
        <f t="shared" si="8"/>
        <v>53308.86239419351</v>
      </c>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row>
    <row r="56" spans="1:117" ht="12.75">
      <c r="A56" s="29"/>
      <c r="B56" s="6" t="s">
        <v>5</v>
      </c>
      <c r="C56" s="33" t="s">
        <v>38</v>
      </c>
      <c r="D56" s="96">
        <f t="shared" si="5"/>
        <v>110675.81296827433</v>
      </c>
      <c r="E56" s="19">
        <f t="shared" si="5"/>
        <v>110675.81296827433</v>
      </c>
      <c r="F56" s="19">
        <f t="shared" si="5"/>
        <v>96905.72125604576</v>
      </c>
      <c r="G56" s="19">
        <f t="shared" si="5"/>
        <v>102453.2621909958</v>
      </c>
      <c r="H56" s="19">
        <f t="shared" si="5"/>
        <v>99154.2175179428</v>
      </c>
      <c r="I56" s="19">
        <f t="shared" si="5"/>
        <v>99322.50003494784</v>
      </c>
      <c r="J56" s="21">
        <f t="shared" si="5"/>
        <v>104860.7092303995</v>
      </c>
      <c r="K56" s="19">
        <f t="shared" si="5"/>
        <v>113639.56863360711</v>
      </c>
      <c r="L56" s="19">
        <f aca="true" t="shared" si="12" ref="L56:T56">(L11*1000000)</f>
        <v>134326.42463329012</v>
      </c>
      <c r="M56" s="19">
        <f t="shared" si="12"/>
        <v>103174.80526912377</v>
      </c>
      <c r="N56" s="19">
        <f t="shared" si="12"/>
        <v>103453.36679206317</v>
      </c>
      <c r="O56" s="19">
        <f t="shared" si="12"/>
        <v>106565.8545789946</v>
      </c>
      <c r="P56" s="19">
        <f t="shared" si="12"/>
        <v>102682.90058220288</v>
      </c>
      <c r="Q56" s="19">
        <f t="shared" si="12"/>
        <v>98451.69910841587</v>
      </c>
      <c r="R56" s="19">
        <f t="shared" si="12"/>
        <v>99392.40510056095</v>
      </c>
      <c r="S56" s="19">
        <f t="shared" si="12"/>
        <v>98036.62014312315</v>
      </c>
      <c r="T56" s="19">
        <f t="shared" si="12"/>
        <v>98160.1963104954</v>
      </c>
      <c r="U56" s="19">
        <f t="shared" si="7"/>
        <v>101577.0143664185</v>
      </c>
      <c r="V56" s="19">
        <f t="shared" si="7"/>
        <v>98403.01465174637</v>
      </c>
      <c r="W56" s="19">
        <f t="shared" si="8"/>
        <v>98403.01465174637</v>
      </c>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row>
    <row r="57" spans="1:117" ht="13.5" thickBot="1">
      <c r="A57" s="29"/>
      <c r="B57" s="6" t="s">
        <v>6</v>
      </c>
      <c r="C57" s="33" t="s">
        <v>39</v>
      </c>
      <c r="D57" s="96">
        <f t="shared" si="5"/>
        <v>272.11932</v>
      </c>
      <c r="E57" s="19">
        <f t="shared" si="5"/>
        <v>-322.36027999999993</v>
      </c>
      <c r="F57" s="19">
        <f t="shared" si="5"/>
        <v>-772.7376799999998</v>
      </c>
      <c r="G57" s="19">
        <f t="shared" si="5"/>
        <v>-770.8868199999998</v>
      </c>
      <c r="H57" s="19">
        <f t="shared" si="5"/>
        <v>-1838.7074200000004</v>
      </c>
      <c r="I57" s="19">
        <f t="shared" si="5"/>
        <v>-3909.3698599999993</v>
      </c>
      <c r="J57" s="21">
        <f t="shared" si="5"/>
        <v>-2839.6593866666667</v>
      </c>
      <c r="K57" s="19">
        <f t="shared" si="5"/>
        <v>-814.0369599999998</v>
      </c>
      <c r="L57" s="19">
        <f aca="true" t="shared" si="13" ref="L57:T57">(L12*1000000)</f>
        <v>-553.4874400000001</v>
      </c>
      <c r="M57" s="19">
        <f t="shared" si="13"/>
        <v>-1094.59834</v>
      </c>
      <c r="N57" s="19">
        <f t="shared" si="13"/>
        <v>-2832.86278</v>
      </c>
      <c r="O57" s="19">
        <f t="shared" si="13"/>
        <v>-4571.21522</v>
      </c>
      <c r="P57" s="19">
        <f t="shared" si="13"/>
        <v>-574.35708</v>
      </c>
      <c r="Q57" s="19">
        <f t="shared" si="13"/>
        <v>-2274.1664</v>
      </c>
      <c r="R57" s="19">
        <f t="shared" si="13"/>
        <v>-564.6893999999999</v>
      </c>
      <c r="S57" s="19">
        <f t="shared" si="13"/>
        <v>-302.30067999999994</v>
      </c>
      <c r="T57" s="19">
        <f t="shared" si="13"/>
        <v>191.52606</v>
      </c>
      <c r="U57" s="19">
        <f t="shared" si="7"/>
        <v>191.52606</v>
      </c>
      <c r="V57" s="19">
        <f t="shared" si="7"/>
        <v>191.52606</v>
      </c>
      <c r="W57" s="19">
        <f t="shared" si="8"/>
        <v>191.52606</v>
      </c>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row>
    <row r="58" spans="1:117" ht="13.5" thickBot="1">
      <c r="A58" s="36" t="s">
        <v>24</v>
      </c>
      <c r="B58" s="37"/>
      <c r="C58" s="36"/>
      <c r="D58" s="97">
        <f t="shared" si="5"/>
        <v>581694.8418798632</v>
      </c>
      <c r="E58" s="38">
        <f t="shared" si="5"/>
        <v>579997.5080692694</v>
      </c>
      <c r="F58" s="38">
        <f t="shared" si="5"/>
        <v>676133.697284967</v>
      </c>
      <c r="G58" s="38">
        <f t="shared" si="5"/>
        <v>628531.7840320673</v>
      </c>
      <c r="H58" s="38">
        <f t="shared" si="5"/>
        <v>651991.2086943061</v>
      </c>
      <c r="I58" s="38">
        <f t="shared" si="5"/>
        <v>658737.1463236809</v>
      </c>
      <c r="J58" s="39">
        <f t="shared" si="5"/>
        <v>662795.846814785</v>
      </c>
      <c r="K58" s="38">
        <f t="shared" si="5"/>
        <v>631055.9140502105</v>
      </c>
      <c r="L58" s="38">
        <f aca="true" t="shared" si="14" ref="L58:T58">(L13*1000000)</f>
        <v>699725.1739802976</v>
      </c>
      <c r="M58" s="38">
        <f t="shared" si="14"/>
        <v>601546.5862199748</v>
      </c>
      <c r="N58" s="38">
        <f t="shared" si="14"/>
        <v>518245.0632551383</v>
      </c>
      <c r="O58" s="38">
        <f t="shared" si="14"/>
        <v>557439.5373653881</v>
      </c>
      <c r="P58" s="38">
        <f t="shared" si="14"/>
        <v>523937.85296829185</v>
      </c>
      <c r="Q58" s="38">
        <f t="shared" si="14"/>
        <v>416726.0304597158</v>
      </c>
      <c r="R58" s="38">
        <f t="shared" si="14"/>
        <v>448615.0188051352</v>
      </c>
      <c r="S58" s="38">
        <f t="shared" si="14"/>
        <v>403680.1931752365</v>
      </c>
      <c r="T58" s="38">
        <f t="shared" si="14"/>
        <v>412976.7691143296</v>
      </c>
      <c r="U58" s="38">
        <f t="shared" si="7"/>
        <v>492785.7380457085</v>
      </c>
      <c r="V58" s="38">
        <f t="shared" si="7"/>
        <v>408806.58153517474</v>
      </c>
      <c r="W58" s="38">
        <f t="shared" si="8"/>
        <v>399437.1099587006</v>
      </c>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row>
    <row r="59" spans="1:117" ht="12.75">
      <c r="A59" s="31" t="s">
        <v>23</v>
      </c>
      <c r="B59" s="6" t="s">
        <v>0</v>
      </c>
      <c r="C59" s="33" t="s">
        <v>33</v>
      </c>
      <c r="D59" s="96">
        <f t="shared" si="5"/>
        <v>541.6374215306249</v>
      </c>
      <c r="E59" s="19">
        <f t="shared" si="5"/>
        <v>549.307797530625</v>
      </c>
      <c r="F59" s="19">
        <f t="shared" si="5"/>
        <v>658.719205081875</v>
      </c>
      <c r="G59" s="19">
        <f t="shared" si="5"/>
        <v>615.3240117543751</v>
      </c>
      <c r="H59" s="19">
        <f t="shared" si="5"/>
        <v>635.26627812375</v>
      </c>
      <c r="I59" s="19">
        <f t="shared" si="5"/>
        <v>651.3459347193749</v>
      </c>
      <c r="J59" s="21">
        <f t="shared" si="5"/>
        <v>655.2659493056249</v>
      </c>
      <c r="K59" s="19">
        <f t="shared" si="5"/>
        <v>614.4527669175001</v>
      </c>
      <c r="L59" s="19">
        <f aca="true" t="shared" si="15" ref="L59:T59">(L14*1000000)</f>
        <v>650.35057507875</v>
      </c>
      <c r="M59" s="19">
        <f t="shared" si="15"/>
        <v>658.6469320331249</v>
      </c>
      <c r="N59" s="19">
        <f t="shared" si="15"/>
        <v>581.5373055975</v>
      </c>
      <c r="O59" s="19">
        <f t="shared" si="15"/>
        <v>539.366123559375</v>
      </c>
      <c r="P59" s="19">
        <f t="shared" si="15"/>
        <v>536.5140097104025</v>
      </c>
      <c r="Q59" s="19">
        <f t="shared" si="15"/>
        <v>496.2227515071926</v>
      </c>
      <c r="R59" s="19">
        <f t="shared" si="15"/>
        <v>484.48138776075774</v>
      </c>
      <c r="S59" s="19">
        <f t="shared" si="15"/>
        <v>445.7903760449999</v>
      </c>
      <c r="T59" s="19">
        <f t="shared" si="15"/>
        <v>454.94414311500003</v>
      </c>
      <c r="U59" s="19">
        <f t="shared" si="7"/>
        <v>495.4813712733792</v>
      </c>
      <c r="V59" s="19">
        <f t="shared" si="7"/>
        <v>449.6765218838431</v>
      </c>
      <c r="W59" s="19">
        <f t="shared" si="8"/>
        <v>429.78836688384314</v>
      </c>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row>
    <row r="60" spans="1:117" ht="12.75">
      <c r="A60" s="29"/>
      <c r="B60" s="6" t="s">
        <v>1</v>
      </c>
      <c r="C60" s="33" t="s">
        <v>34</v>
      </c>
      <c r="D60" s="96">
        <f t="shared" si="5"/>
        <v>22.441251724137942</v>
      </c>
      <c r="E60" s="19">
        <f t="shared" si="5"/>
        <v>22.441251724137942</v>
      </c>
      <c r="F60" s="19">
        <f t="shared" si="5"/>
        <v>22.441251724137942</v>
      </c>
      <c r="G60" s="19">
        <f t="shared" si="5"/>
        <v>20.827644237931043</v>
      </c>
      <c r="H60" s="19">
        <f t="shared" si="5"/>
        <v>24.03484537034484</v>
      </c>
      <c r="I60" s="19">
        <f t="shared" si="5"/>
        <v>24.433012582758632</v>
      </c>
      <c r="J60" s="21">
        <f t="shared" si="5"/>
        <v>27.84755358000001</v>
      </c>
      <c r="K60" s="19">
        <f t="shared" si="5"/>
        <v>39.082857660000016</v>
      </c>
      <c r="L60" s="19">
        <f aca="true" t="shared" si="16" ref="L60:T60">(L15*1000000)</f>
        <v>37.09482084000002</v>
      </c>
      <c r="M60" s="19">
        <f t="shared" si="16"/>
        <v>27.060139483146013</v>
      </c>
      <c r="N60" s="19">
        <f t="shared" si="16"/>
        <v>31.702715947980014</v>
      </c>
      <c r="O60" s="19">
        <f t="shared" si="16"/>
        <v>30.26519496000001</v>
      </c>
      <c r="P60" s="19">
        <f t="shared" si="16"/>
        <v>30.55955364000002</v>
      </c>
      <c r="Q60" s="19">
        <f t="shared" si="16"/>
        <v>30.443323680000013</v>
      </c>
      <c r="R60" s="19">
        <f t="shared" si="16"/>
        <v>31.437875700000014</v>
      </c>
      <c r="S60" s="19">
        <f t="shared" si="16"/>
        <v>29.75118300000001</v>
      </c>
      <c r="T60" s="19">
        <f t="shared" si="16"/>
        <v>30.231432000000016</v>
      </c>
      <c r="U60" s="19">
        <f t="shared" si="7"/>
        <v>28.288606500000014</v>
      </c>
      <c r="V60" s="19">
        <f t="shared" si="7"/>
        <v>28.81979100000001</v>
      </c>
      <c r="W60" s="19">
        <f t="shared" si="8"/>
        <v>28.81979100000001</v>
      </c>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row>
    <row r="61" spans="1:117" ht="12.75">
      <c r="A61" s="29"/>
      <c r="B61" s="6" t="s">
        <v>2</v>
      </c>
      <c r="C61" s="33" t="s">
        <v>35</v>
      </c>
      <c r="D61" s="96">
        <f t="shared" si="5"/>
        <v>152.6299891356695</v>
      </c>
      <c r="E61" s="19">
        <f t="shared" si="5"/>
        <v>149.66919817019846</v>
      </c>
      <c r="F61" s="19">
        <f t="shared" si="5"/>
        <v>124.71283984754372</v>
      </c>
      <c r="G61" s="19">
        <f t="shared" si="5"/>
        <v>133.37673319249504</v>
      </c>
      <c r="H61" s="19">
        <f t="shared" si="5"/>
        <v>103.55017784344086</v>
      </c>
      <c r="I61" s="19">
        <f t="shared" si="5"/>
        <v>91.80897412345236</v>
      </c>
      <c r="J61" s="21">
        <f t="shared" si="5"/>
        <v>98.46265899459056</v>
      </c>
      <c r="K61" s="19">
        <f t="shared" si="5"/>
        <v>112.1729360737856</v>
      </c>
      <c r="L61" s="19">
        <f aca="true" t="shared" si="17" ref="L61:T61">(L16*1000000)</f>
        <v>80.39175037138718</v>
      </c>
      <c r="M61" s="19">
        <f t="shared" si="17"/>
        <v>82.32650144201416</v>
      </c>
      <c r="N61" s="19">
        <f t="shared" si="17"/>
        <v>75.70342000136455</v>
      </c>
      <c r="O61" s="19">
        <f t="shared" si="17"/>
        <v>82.3034420819683</v>
      </c>
      <c r="P61" s="19">
        <f t="shared" si="17"/>
        <v>70.63389843358382</v>
      </c>
      <c r="Q61" s="19">
        <f t="shared" si="17"/>
        <v>70.25150564752661</v>
      </c>
      <c r="R61" s="19">
        <f t="shared" si="17"/>
        <v>75.90289282467768</v>
      </c>
      <c r="S61" s="19">
        <f t="shared" si="17"/>
        <v>80.0563377201815</v>
      </c>
      <c r="T61" s="19">
        <f t="shared" si="17"/>
        <v>70.92192427685892</v>
      </c>
      <c r="U61" s="19">
        <f t="shared" si="7"/>
        <v>55.57421558854857</v>
      </c>
      <c r="V61" s="19">
        <f t="shared" si="7"/>
        <v>53.482019308858305</v>
      </c>
      <c r="W61" s="19">
        <f t="shared" si="8"/>
        <v>38.672736070473995</v>
      </c>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row>
    <row r="62" spans="1:117" ht="12.75">
      <c r="A62" s="29"/>
      <c r="B62" s="6" t="s">
        <v>3</v>
      </c>
      <c r="C62" s="33" t="s">
        <v>36</v>
      </c>
      <c r="D62" s="96">
        <f t="shared" si="5"/>
        <v>1162.4309685388832</v>
      </c>
      <c r="E62" s="19">
        <f t="shared" si="5"/>
        <v>1161.6634175015352</v>
      </c>
      <c r="F62" s="19">
        <f t="shared" si="5"/>
        <v>1136.9304964866046</v>
      </c>
      <c r="G62" s="19">
        <f t="shared" si="5"/>
        <v>1089.853297475017</v>
      </c>
      <c r="H62" s="19">
        <f t="shared" si="5"/>
        <v>1080.241574857345</v>
      </c>
      <c r="I62" s="19">
        <f t="shared" si="5"/>
        <v>1026.0399068080892</v>
      </c>
      <c r="J62" s="21">
        <f t="shared" si="5"/>
        <v>921.7627689230601</v>
      </c>
      <c r="K62" s="19">
        <f aca="true" t="shared" si="18" ref="K62:T62">(K17*1000000)</f>
        <v>805.6120678334657</v>
      </c>
      <c r="L62" s="19">
        <f t="shared" si="18"/>
        <v>767.0977119117586</v>
      </c>
      <c r="M62" s="19">
        <f t="shared" si="18"/>
        <v>632.788746823372</v>
      </c>
      <c r="N62" s="19">
        <f t="shared" si="18"/>
        <v>602.2313709113308</v>
      </c>
      <c r="O62" s="19">
        <f t="shared" si="18"/>
        <v>524.4789334527114</v>
      </c>
      <c r="P62" s="19">
        <f t="shared" si="18"/>
        <v>455.6610579249807</v>
      </c>
      <c r="Q62" s="19">
        <f t="shared" si="18"/>
        <v>416.2214430305053</v>
      </c>
      <c r="R62" s="19">
        <f t="shared" si="18"/>
        <v>361.91967509903003</v>
      </c>
      <c r="S62" s="19">
        <f t="shared" si="18"/>
        <v>327.97250117608155</v>
      </c>
      <c r="T62" s="19">
        <f t="shared" si="18"/>
        <v>297.9284199710774</v>
      </c>
      <c r="U62" s="19">
        <f t="shared" si="7"/>
        <v>267.13151829853825</v>
      </c>
      <c r="V62" s="19">
        <f t="shared" si="7"/>
        <v>251.53129964411502</v>
      </c>
      <c r="W62" s="19">
        <f t="shared" si="8"/>
        <v>179.64996592258598</v>
      </c>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row>
    <row r="63" spans="1:117" ht="12.75">
      <c r="A63" s="29"/>
      <c r="B63" s="6" t="s">
        <v>4</v>
      </c>
      <c r="C63" s="33" t="s">
        <v>37</v>
      </c>
      <c r="D63" s="96">
        <f t="shared" si="5"/>
        <v>143.46394687084057</v>
      </c>
      <c r="E63" s="19">
        <f t="shared" si="5"/>
        <v>143.46394687084057</v>
      </c>
      <c r="F63" s="19">
        <f t="shared" si="5"/>
        <v>140.95415334917703</v>
      </c>
      <c r="G63" s="19">
        <f t="shared" si="5"/>
        <v>142.2541950665235</v>
      </c>
      <c r="H63" s="19">
        <f t="shared" si="5"/>
        <v>160.84146380807954</v>
      </c>
      <c r="I63" s="19">
        <f t="shared" si="5"/>
        <v>156.4557796998629</v>
      </c>
      <c r="J63" s="21">
        <f aca="true" t="shared" si="19" ref="J63:T63">(J18*1000000)</f>
        <v>175.57140195</v>
      </c>
      <c r="K63" s="19">
        <f t="shared" si="19"/>
        <v>202.05428775000001</v>
      </c>
      <c r="L63" s="19">
        <f t="shared" si="19"/>
        <v>260.00745256500005</v>
      </c>
      <c r="M63" s="19">
        <f t="shared" si="19"/>
        <v>164.60879339814</v>
      </c>
      <c r="N63" s="19">
        <f t="shared" si="19"/>
        <v>165.503396881305</v>
      </c>
      <c r="O63" s="19">
        <f t="shared" si="19"/>
        <v>362.47593070499994</v>
      </c>
      <c r="P63" s="19">
        <f t="shared" si="19"/>
        <v>315.30841040999996</v>
      </c>
      <c r="Q63" s="19">
        <f t="shared" si="19"/>
        <v>173.19522191791472</v>
      </c>
      <c r="R63" s="19">
        <f t="shared" si="19"/>
        <v>216.14619218959146</v>
      </c>
      <c r="S63" s="19">
        <f t="shared" si="19"/>
        <v>156.3211150197399</v>
      </c>
      <c r="T63" s="19">
        <f t="shared" si="19"/>
        <v>166.116667154987</v>
      </c>
      <c r="U63" s="19">
        <f t="shared" si="7"/>
        <v>274.7004439230015</v>
      </c>
      <c r="V63" s="19">
        <f t="shared" si="7"/>
        <v>148.9309966448909</v>
      </c>
      <c r="W63" s="19">
        <f t="shared" si="8"/>
        <v>148.9309966448909</v>
      </c>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row>
    <row r="64" spans="1:117" ht="12.75">
      <c r="A64" s="29"/>
      <c r="B64" s="6" t="s">
        <v>5</v>
      </c>
      <c r="C64" s="33" t="s">
        <v>38</v>
      </c>
      <c r="D64" s="96">
        <f t="shared" si="5"/>
        <v>2059.577311192766</v>
      </c>
      <c r="E64" s="19">
        <f t="shared" si="5"/>
        <v>2059.577311192766</v>
      </c>
      <c r="F64" s="19">
        <f t="shared" si="5"/>
        <v>1113.6650022320994</v>
      </c>
      <c r="G64" s="19">
        <f t="shared" si="5"/>
        <v>1684.012604555117</v>
      </c>
      <c r="H64" s="19">
        <f t="shared" si="5"/>
        <v>1352.0324380998138</v>
      </c>
      <c r="I64" s="19">
        <f t="shared" si="5"/>
        <v>1358.4626243587356</v>
      </c>
      <c r="J64" s="21">
        <f aca="true" t="shared" si="20" ref="J64:T64">(J19*1000000)</f>
        <v>1390.9775058055602</v>
      </c>
      <c r="K64" s="19">
        <f t="shared" si="20"/>
        <v>1227.4141202888127</v>
      </c>
      <c r="L64" s="19">
        <f t="shared" si="20"/>
        <v>1210.819662941803</v>
      </c>
      <c r="M64" s="19">
        <f t="shared" si="20"/>
        <v>997.9903757099751</v>
      </c>
      <c r="N64" s="19">
        <f t="shared" si="20"/>
        <v>1002.1019415864172</v>
      </c>
      <c r="O64" s="19">
        <f t="shared" si="20"/>
        <v>969.1529068568246</v>
      </c>
      <c r="P64" s="19">
        <f t="shared" si="20"/>
        <v>801.4507041628426</v>
      </c>
      <c r="Q64" s="19">
        <f t="shared" si="20"/>
        <v>759.4759791376464</v>
      </c>
      <c r="R64" s="19">
        <f t="shared" si="20"/>
        <v>771.4813940918016</v>
      </c>
      <c r="S64" s="19">
        <f t="shared" si="20"/>
        <v>727.3619888313568</v>
      </c>
      <c r="T64" s="19">
        <f t="shared" si="20"/>
        <v>633.9047341789786</v>
      </c>
      <c r="U64" s="19">
        <f t="shared" si="7"/>
        <v>574.4679277395556</v>
      </c>
      <c r="V64" s="19">
        <f t="shared" si="7"/>
        <v>564.9721167756064</v>
      </c>
      <c r="W64" s="19">
        <f t="shared" si="8"/>
        <v>564.9721167756064</v>
      </c>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row>
    <row r="65" spans="1:117" ht="12.75">
      <c r="A65" s="29"/>
      <c r="B65" s="6" t="s">
        <v>7</v>
      </c>
      <c r="C65" s="33" t="s">
        <v>40</v>
      </c>
      <c r="D65" s="96">
        <f t="shared" si="5"/>
        <v>12341.028</v>
      </c>
      <c r="E65" s="19">
        <f t="shared" si="5"/>
        <v>12341.028</v>
      </c>
      <c r="F65" s="19">
        <f t="shared" si="5"/>
        <v>12341.028</v>
      </c>
      <c r="G65" s="19">
        <f t="shared" si="5"/>
        <v>12341.028</v>
      </c>
      <c r="H65" s="19">
        <f t="shared" si="5"/>
        <v>12341.028</v>
      </c>
      <c r="I65" s="19">
        <f t="shared" si="5"/>
        <v>12341.028</v>
      </c>
      <c r="J65" s="21">
        <f aca="true" t="shared" si="21" ref="J65:T65">(J20*1000000)</f>
        <v>12341.028</v>
      </c>
      <c r="K65" s="19">
        <f t="shared" si="21"/>
        <v>12341.028</v>
      </c>
      <c r="L65" s="19">
        <f t="shared" si="21"/>
        <v>12341.028</v>
      </c>
      <c r="M65" s="19">
        <f t="shared" si="21"/>
        <v>12341.028</v>
      </c>
      <c r="N65" s="19">
        <f t="shared" si="21"/>
        <v>12638.64</v>
      </c>
      <c r="O65" s="19">
        <f t="shared" si="21"/>
        <v>12255.6</v>
      </c>
      <c r="P65" s="19">
        <f t="shared" si="21"/>
        <v>10736.039999999999</v>
      </c>
      <c r="Q65" s="19">
        <f t="shared" si="21"/>
        <v>9701.244</v>
      </c>
      <c r="R65" s="19">
        <f t="shared" si="21"/>
        <v>9150.036</v>
      </c>
      <c r="S65" s="19">
        <f t="shared" si="21"/>
        <v>8910.804</v>
      </c>
      <c r="T65" s="19">
        <f t="shared" si="21"/>
        <v>9519.804</v>
      </c>
      <c r="U65" s="19">
        <f t="shared" si="7"/>
        <v>9845.724</v>
      </c>
      <c r="V65" s="19">
        <f t="shared" si="7"/>
        <v>8463.336</v>
      </c>
      <c r="W65" s="19">
        <f t="shared" si="8"/>
        <v>8386.812</v>
      </c>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row>
    <row r="66" spans="1:117" ht="12.75">
      <c r="A66" s="29"/>
      <c r="B66" s="6" t="s">
        <v>8</v>
      </c>
      <c r="C66" s="33" t="s">
        <v>41</v>
      </c>
      <c r="D66" s="96">
        <f t="shared" si="5"/>
        <v>41.664</v>
      </c>
      <c r="E66" s="19">
        <f t="shared" si="5"/>
        <v>41.664</v>
      </c>
      <c r="F66" s="19">
        <f t="shared" si="5"/>
        <v>41.664</v>
      </c>
      <c r="G66" s="19">
        <f t="shared" si="5"/>
        <v>41.664</v>
      </c>
      <c r="H66" s="19">
        <f t="shared" si="5"/>
        <v>41.664</v>
      </c>
      <c r="I66" s="19">
        <f t="shared" si="5"/>
        <v>41.664</v>
      </c>
      <c r="J66" s="21">
        <f aca="true" t="shared" si="22" ref="J66:T66">(J21*1000000)</f>
        <v>41.664</v>
      </c>
      <c r="K66" s="19">
        <f t="shared" si="22"/>
        <v>41.664</v>
      </c>
      <c r="L66" s="19">
        <f t="shared" si="22"/>
        <v>41.664</v>
      </c>
      <c r="M66" s="19">
        <f t="shared" si="22"/>
        <v>41.664</v>
      </c>
      <c r="N66" s="19">
        <f t="shared" si="22"/>
        <v>44.519999999999996</v>
      </c>
      <c r="O66" s="19">
        <f t="shared" si="22"/>
        <v>43.848</v>
      </c>
      <c r="P66" s="19">
        <f t="shared" si="22"/>
        <v>38.64</v>
      </c>
      <c r="Q66" s="19">
        <f t="shared" si="22"/>
        <v>43.343999999999994</v>
      </c>
      <c r="R66" s="19">
        <f t="shared" si="22"/>
        <v>43.343999999999994</v>
      </c>
      <c r="S66" s="19">
        <f t="shared" si="22"/>
        <v>56.111999999999995</v>
      </c>
      <c r="T66" s="19">
        <f t="shared" si="22"/>
        <v>94.24799999999999</v>
      </c>
      <c r="U66" s="19">
        <f t="shared" si="7"/>
        <v>92.568</v>
      </c>
      <c r="V66" s="19">
        <f t="shared" si="7"/>
        <v>118.104</v>
      </c>
      <c r="W66" s="19">
        <f t="shared" si="8"/>
        <v>144.648</v>
      </c>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row>
    <row r="67" spans="1:117" ht="12.75">
      <c r="A67" s="29"/>
      <c r="B67" s="6" t="s">
        <v>9</v>
      </c>
      <c r="C67" s="33" t="s">
        <v>42</v>
      </c>
      <c r="D67" s="96">
        <f t="shared" si="5"/>
        <v>5.984999999999999</v>
      </c>
      <c r="E67" s="19">
        <f t="shared" si="5"/>
        <v>5.984999999999999</v>
      </c>
      <c r="F67" s="19">
        <f t="shared" si="5"/>
        <v>5.984999999999999</v>
      </c>
      <c r="G67" s="19">
        <f t="shared" si="5"/>
        <v>5.984999999999999</v>
      </c>
      <c r="H67" s="19">
        <f t="shared" si="5"/>
        <v>5.984999999999999</v>
      </c>
      <c r="I67" s="19">
        <f t="shared" si="5"/>
        <v>5.984999999999999</v>
      </c>
      <c r="J67" s="21">
        <f aca="true" t="shared" si="23" ref="J67:T67">(J22*1000000)</f>
        <v>5.984999999999999</v>
      </c>
      <c r="K67" s="19">
        <f t="shared" si="23"/>
        <v>5.984999999999999</v>
      </c>
      <c r="L67" s="19">
        <f t="shared" si="23"/>
        <v>5.984999999999999</v>
      </c>
      <c r="M67" s="19">
        <f t="shared" si="23"/>
        <v>5.984999999999999</v>
      </c>
      <c r="N67" s="19">
        <f t="shared" si="23"/>
        <v>5.775</v>
      </c>
      <c r="O67" s="19">
        <f t="shared" si="23"/>
        <v>6.72</v>
      </c>
      <c r="P67" s="19">
        <f t="shared" si="23"/>
        <v>2.1</v>
      </c>
      <c r="Q67" s="19">
        <f t="shared" si="23"/>
        <v>2.1</v>
      </c>
      <c r="R67" s="19">
        <f t="shared" si="23"/>
        <v>2.1</v>
      </c>
      <c r="S67" s="19">
        <f t="shared" si="23"/>
        <v>2.415</v>
      </c>
      <c r="T67" s="19">
        <f t="shared" si="23"/>
        <v>2.415</v>
      </c>
      <c r="U67" s="19">
        <f t="shared" si="7"/>
        <v>1.5749999999999997</v>
      </c>
      <c r="V67" s="19">
        <f t="shared" si="7"/>
        <v>2.415</v>
      </c>
      <c r="W67" s="19">
        <f t="shared" si="8"/>
        <v>2.1</v>
      </c>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row>
    <row r="68" spans="1:117" ht="12.75">
      <c r="A68" s="29"/>
      <c r="B68" s="6" t="s">
        <v>10</v>
      </c>
      <c r="C68" s="33" t="s">
        <v>43</v>
      </c>
      <c r="D68" s="96">
        <f t="shared" si="5"/>
        <v>0</v>
      </c>
      <c r="E68" s="19">
        <f t="shared" si="5"/>
        <v>0</v>
      </c>
      <c r="F68" s="19">
        <f t="shared" si="5"/>
        <v>0</v>
      </c>
      <c r="G68" s="19">
        <f t="shared" si="5"/>
        <v>0</v>
      </c>
      <c r="H68" s="19">
        <f t="shared" si="5"/>
        <v>0</v>
      </c>
      <c r="I68" s="19">
        <f t="shared" si="5"/>
        <v>0</v>
      </c>
      <c r="J68" s="21">
        <f aca="true" t="shared" si="24" ref="J68:T68">(J23*1000000)</f>
        <v>0</v>
      </c>
      <c r="K68" s="19">
        <f t="shared" si="24"/>
        <v>0</v>
      </c>
      <c r="L68" s="19">
        <f t="shared" si="24"/>
        <v>0</v>
      </c>
      <c r="M68" s="19">
        <f t="shared" si="24"/>
        <v>0</v>
      </c>
      <c r="N68" s="19">
        <f t="shared" si="24"/>
        <v>0</v>
      </c>
      <c r="O68" s="19">
        <f t="shared" si="24"/>
        <v>0</v>
      </c>
      <c r="P68" s="19">
        <f t="shared" si="24"/>
        <v>0</v>
      </c>
      <c r="Q68" s="19">
        <f t="shared" si="24"/>
        <v>0</v>
      </c>
      <c r="R68" s="19">
        <f t="shared" si="24"/>
        <v>161.78400000000002</v>
      </c>
      <c r="S68" s="19">
        <f t="shared" si="24"/>
        <v>175.77</v>
      </c>
      <c r="T68" s="19">
        <f t="shared" si="24"/>
        <v>324.324</v>
      </c>
      <c r="U68" s="19">
        <f t="shared" si="7"/>
        <v>225.66600000000003</v>
      </c>
      <c r="V68" s="19">
        <f t="shared" si="7"/>
        <v>280.854</v>
      </c>
      <c r="W68" s="19">
        <f t="shared" si="8"/>
        <v>302.77799999999996</v>
      </c>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row>
    <row r="69" spans="1:35" ht="12.75">
      <c r="A69" s="29"/>
      <c r="B69" s="6" t="s">
        <v>11</v>
      </c>
      <c r="C69" s="33" t="s">
        <v>44</v>
      </c>
      <c r="D69" s="96">
        <f t="shared" si="5"/>
        <v>13.450500000000002</v>
      </c>
      <c r="E69" s="19">
        <f t="shared" si="5"/>
        <v>13.450500000000002</v>
      </c>
      <c r="F69" s="19">
        <f t="shared" si="5"/>
        <v>13.450500000000002</v>
      </c>
      <c r="G69" s="19">
        <f t="shared" si="5"/>
        <v>13.450500000000002</v>
      </c>
      <c r="H69" s="19">
        <f t="shared" si="5"/>
        <v>13.450500000000002</v>
      </c>
      <c r="I69" s="19">
        <f t="shared" si="5"/>
        <v>13.450500000000002</v>
      </c>
      <c r="J69" s="21">
        <f aca="true" t="shared" si="25" ref="J69:T69">(J24*1000000)</f>
        <v>13.450500000000002</v>
      </c>
      <c r="K69" s="19">
        <f t="shared" si="25"/>
        <v>13.450500000000002</v>
      </c>
      <c r="L69" s="19">
        <f t="shared" si="25"/>
        <v>13.450500000000002</v>
      </c>
      <c r="M69" s="19">
        <f t="shared" si="25"/>
        <v>13.450500000000002</v>
      </c>
      <c r="N69" s="19">
        <f t="shared" si="25"/>
        <v>11.655000000000001</v>
      </c>
      <c r="O69" s="19">
        <f t="shared" si="25"/>
        <v>10.899000000000001</v>
      </c>
      <c r="P69" s="19">
        <f t="shared" si="25"/>
        <v>11.969999999999999</v>
      </c>
      <c r="Q69" s="19">
        <f t="shared" si="25"/>
        <v>17.4825</v>
      </c>
      <c r="R69" s="19">
        <f t="shared" si="25"/>
        <v>17.4825</v>
      </c>
      <c r="S69" s="19">
        <f t="shared" si="25"/>
        <v>15.057</v>
      </c>
      <c r="T69" s="19">
        <f t="shared" si="25"/>
        <v>20.852999999999998</v>
      </c>
      <c r="U69" s="19">
        <f t="shared" si="7"/>
        <v>26.208</v>
      </c>
      <c r="V69" s="19">
        <f t="shared" si="7"/>
        <v>19.372500000000002</v>
      </c>
      <c r="W69" s="19">
        <f t="shared" si="8"/>
        <v>19.624499999999998</v>
      </c>
      <c r="X69" s="20"/>
      <c r="Y69" s="20"/>
      <c r="Z69" s="20"/>
      <c r="AA69" s="20"/>
      <c r="AB69" s="20"/>
      <c r="AC69" s="20"/>
      <c r="AD69" s="20"/>
      <c r="AE69" s="20"/>
      <c r="AF69" s="20"/>
      <c r="AG69" s="20"/>
      <c r="AH69" s="20"/>
      <c r="AI69" s="20"/>
    </row>
    <row r="70" spans="1:35" ht="12.75">
      <c r="A70" s="29"/>
      <c r="B70" s="6" t="s">
        <v>12</v>
      </c>
      <c r="C70" s="33" t="s">
        <v>45</v>
      </c>
      <c r="D70" s="96">
        <f t="shared" si="5"/>
        <v>4203.276</v>
      </c>
      <c r="E70" s="19">
        <f t="shared" si="5"/>
        <v>4203.276</v>
      </c>
      <c r="F70" s="19">
        <f t="shared" si="5"/>
        <v>4203.276</v>
      </c>
      <c r="G70" s="19">
        <f t="shared" si="5"/>
        <v>4203.276</v>
      </c>
      <c r="H70" s="19">
        <f t="shared" si="5"/>
        <v>4203.276</v>
      </c>
      <c r="I70" s="19">
        <f t="shared" si="5"/>
        <v>4203.276</v>
      </c>
      <c r="J70" s="21">
        <f aca="true" t="shared" si="26" ref="J70:T70">(J25*1000000)</f>
        <v>4203.276</v>
      </c>
      <c r="K70" s="19">
        <f t="shared" si="26"/>
        <v>4203.276</v>
      </c>
      <c r="L70" s="19">
        <f t="shared" si="26"/>
        <v>4203.276</v>
      </c>
      <c r="M70" s="19">
        <f t="shared" si="26"/>
        <v>4203.276</v>
      </c>
      <c r="N70" s="19">
        <f t="shared" si="26"/>
        <v>4239.312</v>
      </c>
      <c r="O70" s="19">
        <f t="shared" si="26"/>
        <v>4206.048000000001</v>
      </c>
      <c r="P70" s="19">
        <f t="shared" si="26"/>
        <v>3668.28</v>
      </c>
      <c r="Q70" s="19">
        <f t="shared" si="26"/>
        <v>3340.26</v>
      </c>
      <c r="R70" s="19">
        <f t="shared" si="26"/>
        <v>3186.8759999999997</v>
      </c>
      <c r="S70" s="19">
        <f t="shared" si="26"/>
        <v>2928.156</v>
      </c>
      <c r="T70" s="19">
        <f t="shared" si="26"/>
        <v>3107.412</v>
      </c>
      <c r="U70" s="19">
        <f t="shared" si="7"/>
        <v>3299.6040000000003</v>
      </c>
      <c r="V70" s="19">
        <f t="shared" si="7"/>
        <v>2818.2000000000003</v>
      </c>
      <c r="W70" s="19">
        <f t="shared" si="8"/>
        <v>2752.596</v>
      </c>
      <c r="X70" s="20"/>
      <c r="Y70" s="20"/>
      <c r="Z70" s="20"/>
      <c r="AA70" s="20"/>
      <c r="AB70" s="20"/>
      <c r="AC70" s="20"/>
      <c r="AD70" s="20"/>
      <c r="AE70" s="20"/>
      <c r="AF70" s="20"/>
      <c r="AG70" s="20"/>
      <c r="AH70" s="20"/>
      <c r="AI70" s="20"/>
    </row>
    <row r="71" spans="1:35" ht="12.75">
      <c r="A71" s="29"/>
      <c r="B71" s="6" t="s">
        <v>13</v>
      </c>
      <c r="C71" s="33" t="s">
        <v>46</v>
      </c>
      <c r="D71" s="96">
        <f t="shared" si="5"/>
        <v>1.4582400000000002</v>
      </c>
      <c r="E71" s="19">
        <f t="shared" si="5"/>
        <v>1.4582400000000002</v>
      </c>
      <c r="F71" s="19">
        <f t="shared" si="5"/>
        <v>1.4582400000000002</v>
      </c>
      <c r="G71" s="19">
        <f t="shared" si="5"/>
        <v>1.4582400000000002</v>
      </c>
      <c r="H71" s="19">
        <f t="shared" si="5"/>
        <v>1.4582400000000002</v>
      </c>
      <c r="I71" s="19">
        <f t="shared" si="5"/>
        <v>1.4582400000000002</v>
      </c>
      <c r="J71" s="21">
        <f aca="true" t="shared" si="27" ref="J71:T71">(J26*1000000)</f>
        <v>1.4582400000000002</v>
      </c>
      <c r="K71" s="19">
        <f t="shared" si="27"/>
        <v>1.4582400000000002</v>
      </c>
      <c r="L71" s="19">
        <f t="shared" si="27"/>
        <v>1.4582400000000002</v>
      </c>
      <c r="M71" s="19">
        <f t="shared" si="27"/>
        <v>1.4582400000000002</v>
      </c>
      <c r="N71" s="19">
        <f t="shared" si="27"/>
        <v>1.5582</v>
      </c>
      <c r="O71" s="19">
        <f t="shared" si="27"/>
        <v>1.5346800000000003</v>
      </c>
      <c r="P71" s="19">
        <f t="shared" si="27"/>
        <v>1.3524000000000003</v>
      </c>
      <c r="Q71" s="19">
        <f t="shared" si="27"/>
        <v>1.5170400000000004</v>
      </c>
      <c r="R71" s="19">
        <f t="shared" si="27"/>
        <v>1.5170400000000004</v>
      </c>
      <c r="S71" s="19">
        <f t="shared" si="27"/>
        <v>1.96392</v>
      </c>
      <c r="T71" s="19">
        <f t="shared" si="27"/>
        <v>3.29868</v>
      </c>
      <c r="U71" s="19">
        <f t="shared" si="7"/>
        <v>3.2398799999999994</v>
      </c>
      <c r="V71" s="19">
        <f t="shared" si="7"/>
        <v>4.13364</v>
      </c>
      <c r="W71" s="19">
        <f t="shared" si="8"/>
        <v>5.06268</v>
      </c>
      <c r="X71" s="20"/>
      <c r="Y71" s="20"/>
      <c r="Z71" s="20"/>
      <c r="AA71" s="20"/>
      <c r="AB71" s="20"/>
      <c r="AC71" s="20"/>
      <c r="AD71" s="20"/>
      <c r="AE71" s="20"/>
      <c r="AF71" s="20"/>
      <c r="AG71" s="20"/>
      <c r="AH71" s="20"/>
      <c r="AI71" s="20"/>
    </row>
    <row r="72" spans="1:35" ht="12.75">
      <c r="A72" s="29"/>
      <c r="B72" s="6" t="s">
        <v>14</v>
      </c>
      <c r="C72" s="33" t="s">
        <v>47</v>
      </c>
      <c r="D72" s="96">
        <f t="shared" si="5"/>
        <v>0.21545999999999998</v>
      </c>
      <c r="E72" s="19">
        <f t="shared" si="5"/>
        <v>0.21545999999999998</v>
      </c>
      <c r="F72" s="19">
        <f t="shared" si="5"/>
        <v>0.21545999999999998</v>
      </c>
      <c r="G72" s="19">
        <f t="shared" si="5"/>
        <v>0.21545999999999998</v>
      </c>
      <c r="H72" s="19">
        <f t="shared" si="5"/>
        <v>0.21545999999999998</v>
      </c>
      <c r="I72" s="19">
        <f t="shared" si="5"/>
        <v>0.21545999999999998</v>
      </c>
      <c r="J72" s="21">
        <f aca="true" t="shared" si="28" ref="J72:T72">(J27*1000000)</f>
        <v>0.21545999999999998</v>
      </c>
      <c r="K72" s="19">
        <f t="shared" si="28"/>
        <v>0.21545999999999998</v>
      </c>
      <c r="L72" s="19">
        <f t="shared" si="28"/>
        <v>0.21545999999999998</v>
      </c>
      <c r="M72" s="19">
        <f t="shared" si="28"/>
        <v>0.21545999999999998</v>
      </c>
      <c r="N72" s="19">
        <f t="shared" si="28"/>
        <v>0.2079</v>
      </c>
      <c r="O72" s="19">
        <f t="shared" si="28"/>
        <v>0.24192</v>
      </c>
      <c r="P72" s="19">
        <f t="shared" si="28"/>
        <v>0.07559999999999999</v>
      </c>
      <c r="Q72" s="19">
        <f t="shared" si="28"/>
        <v>0.07559999999999999</v>
      </c>
      <c r="R72" s="19">
        <f t="shared" si="28"/>
        <v>0.07559999999999999</v>
      </c>
      <c r="S72" s="19">
        <f t="shared" si="28"/>
        <v>0.08693999999999999</v>
      </c>
      <c r="T72" s="19">
        <f t="shared" si="28"/>
        <v>0.08693999999999999</v>
      </c>
      <c r="U72" s="19">
        <f aca="true" t="shared" si="29" ref="U72:V90">(U27*1000000)</f>
        <v>0.05669999999999999</v>
      </c>
      <c r="V72" s="19">
        <f t="shared" si="29"/>
        <v>0.08693999999999999</v>
      </c>
      <c r="W72" s="19">
        <f t="shared" si="8"/>
        <v>0.07559999999999999</v>
      </c>
      <c r="X72" s="20"/>
      <c r="Y72" s="20"/>
      <c r="Z72" s="20"/>
      <c r="AA72" s="20"/>
      <c r="AB72" s="20"/>
      <c r="AC72" s="20"/>
      <c r="AD72" s="20"/>
      <c r="AE72" s="20"/>
      <c r="AF72" s="20"/>
      <c r="AG72" s="20"/>
      <c r="AH72" s="20"/>
      <c r="AI72" s="20"/>
    </row>
    <row r="73" spans="1:35" ht="12.75">
      <c r="A73" s="29"/>
      <c r="B73" s="6" t="s">
        <v>15</v>
      </c>
      <c r="C73" s="33" t="s">
        <v>48</v>
      </c>
      <c r="D73" s="96">
        <f t="shared" si="5"/>
        <v>0</v>
      </c>
      <c r="E73" s="19">
        <f t="shared" si="5"/>
        <v>0</v>
      </c>
      <c r="F73" s="19">
        <f t="shared" si="5"/>
        <v>0</v>
      </c>
      <c r="G73" s="19">
        <f t="shared" si="5"/>
        <v>0</v>
      </c>
      <c r="H73" s="19">
        <f t="shared" si="5"/>
        <v>0</v>
      </c>
      <c r="I73" s="19">
        <f t="shared" si="5"/>
        <v>0</v>
      </c>
      <c r="J73" s="21">
        <f aca="true" t="shared" si="30" ref="J73:T73">(J28*1000000)</f>
        <v>0</v>
      </c>
      <c r="K73" s="19">
        <f t="shared" si="30"/>
        <v>0</v>
      </c>
      <c r="L73" s="19">
        <f t="shared" si="30"/>
        <v>0</v>
      </c>
      <c r="M73" s="19">
        <f t="shared" si="30"/>
        <v>0</v>
      </c>
      <c r="N73" s="19">
        <f t="shared" si="30"/>
        <v>0</v>
      </c>
      <c r="O73" s="19">
        <f t="shared" si="30"/>
        <v>0</v>
      </c>
      <c r="P73" s="19">
        <f t="shared" si="30"/>
        <v>0</v>
      </c>
      <c r="Q73" s="19">
        <f t="shared" si="30"/>
        <v>0</v>
      </c>
      <c r="R73" s="19">
        <f t="shared" si="30"/>
        <v>18.8748</v>
      </c>
      <c r="S73" s="19">
        <f t="shared" si="30"/>
        <v>20.506500000000003</v>
      </c>
      <c r="T73" s="19">
        <f t="shared" si="30"/>
        <v>37.83780000000001</v>
      </c>
      <c r="U73" s="19">
        <f t="shared" si="29"/>
        <v>26.3277</v>
      </c>
      <c r="V73" s="19">
        <f t="shared" si="29"/>
        <v>32.7663</v>
      </c>
      <c r="W73" s="19">
        <f t="shared" si="8"/>
        <v>35.3241</v>
      </c>
      <c r="X73" s="20"/>
      <c r="Y73" s="20"/>
      <c r="Z73" s="20"/>
      <c r="AA73" s="20"/>
      <c r="AB73" s="20"/>
      <c r="AC73" s="20"/>
      <c r="AD73" s="20"/>
      <c r="AE73" s="20"/>
      <c r="AF73" s="20"/>
      <c r="AG73" s="20"/>
      <c r="AH73" s="20"/>
      <c r="AI73" s="20"/>
    </row>
    <row r="74" spans="1:35" ht="12.75">
      <c r="A74" s="29"/>
      <c r="B74" s="6" t="s">
        <v>16</v>
      </c>
      <c r="C74" s="33" t="s">
        <v>49</v>
      </c>
      <c r="D74" s="96">
        <f t="shared" si="5"/>
        <v>89.67000000000002</v>
      </c>
      <c r="E74" s="19">
        <f t="shared" si="5"/>
        <v>89.67000000000002</v>
      </c>
      <c r="F74" s="19">
        <f t="shared" si="5"/>
        <v>89.67000000000002</v>
      </c>
      <c r="G74" s="19">
        <f t="shared" si="5"/>
        <v>89.67000000000002</v>
      </c>
      <c r="H74" s="19">
        <f t="shared" si="5"/>
        <v>89.67000000000002</v>
      </c>
      <c r="I74" s="19">
        <f t="shared" si="5"/>
        <v>89.67000000000002</v>
      </c>
      <c r="J74" s="21">
        <f aca="true" t="shared" si="31" ref="J74:T74">(J29*1000000)</f>
        <v>89.67000000000002</v>
      </c>
      <c r="K74" s="19">
        <f t="shared" si="31"/>
        <v>89.67000000000002</v>
      </c>
      <c r="L74" s="19">
        <f t="shared" si="31"/>
        <v>89.67000000000002</v>
      </c>
      <c r="M74" s="19">
        <f t="shared" si="31"/>
        <v>89.67000000000002</v>
      </c>
      <c r="N74" s="19">
        <f t="shared" si="31"/>
        <v>77.7</v>
      </c>
      <c r="O74" s="19">
        <f t="shared" si="31"/>
        <v>72.66</v>
      </c>
      <c r="P74" s="19">
        <f t="shared" si="31"/>
        <v>79.8</v>
      </c>
      <c r="Q74" s="19">
        <f t="shared" si="31"/>
        <v>116.55</v>
      </c>
      <c r="R74" s="19">
        <f t="shared" si="31"/>
        <v>116.55</v>
      </c>
      <c r="S74" s="19">
        <f t="shared" si="31"/>
        <v>100.38000000000001</v>
      </c>
      <c r="T74" s="19">
        <f t="shared" si="31"/>
        <v>139.02</v>
      </c>
      <c r="U74" s="19">
        <f t="shared" si="29"/>
        <v>174.71999999999997</v>
      </c>
      <c r="V74" s="19">
        <f t="shared" si="29"/>
        <v>129.15000000000003</v>
      </c>
      <c r="W74" s="19">
        <f t="shared" si="8"/>
        <v>130.82999999999998</v>
      </c>
      <c r="X74" s="20"/>
      <c r="Y74" s="20"/>
      <c r="Z74" s="20"/>
      <c r="AA74" s="20"/>
      <c r="AB74" s="20"/>
      <c r="AC74" s="20"/>
      <c r="AD74" s="20"/>
      <c r="AE74" s="20"/>
      <c r="AF74" s="20"/>
      <c r="AG74" s="20"/>
      <c r="AH74" s="20"/>
      <c r="AI74" s="20"/>
    </row>
    <row r="75" spans="1:35" ht="12.75">
      <c r="A75" s="29"/>
      <c r="B75" s="6" t="s">
        <v>17</v>
      </c>
      <c r="C75" s="33" t="s">
        <v>50</v>
      </c>
      <c r="D75" s="96">
        <f t="shared" si="5"/>
        <v>47.07120600000001</v>
      </c>
      <c r="E75" s="19">
        <f t="shared" si="5"/>
        <v>47.07120600000001</v>
      </c>
      <c r="F75" s="19">
        <f t="shared" si="5"/>
        <v>47.07120600000001</v>
      </c>
      <c r="G75" s="19">
        <f t="shared" si="5"/>
        <v>47.07120600000001</v>
      </c>
      <c r="H75" s="19">
        <f t="shared" si="5"/>
        <v>47.07120600000001</v>
      </c>
      <c r="I75" s="19">
        <f t="shared" si="5"/>
        <v>47.07120600000001</v>
      </c>
      <c r="J75" s="21">
        <f aca="true" t="shared" si="32" ref="J75:T75">(J30*1000000)</f>
        <v>47.07120600000001</v>
      </c>
      <c r="K75" s="19">
        <f t="shared" si="32"/>
        <v>47.07120600000001</v>
      </c>
      <c r="L75" s="19">
        <f t="shared" si="32"/>
        <v>47.07120600000001</v>
      </c>
      <c r="M75" s="19">
        <f t="shared" si="32"/>
        <v>47.07120600000001</v>
      </c>
      <c r="N75" s="19">
        <f t="shared" si="32"/>
        <v>37.990134</v>
      </c>
      <c r="O75" s="19">
        <f t="shared" si="32"/>
        <v>34.30954800000001</v>
      </c>
      <c r="P75" s="19">
        <f t="shared" si="32"/>
        <v>36.115443</v>
      </c>
      <c r="Q75" s="19">
        <f t="shared" si="32"/>
        <v>42.031899</v>
      </c>
      <c r="R75" s="19">
        <f t="shared" si="32"/>
        <v>42.031899</v>
      </c>
      <c r="S75" s="19">
        <f t="shared" si="32"/>
        <v>54.791100000000014</v>
      </c>
      <c r="T75" s="19">
        <f t="shared" si="32"/>
        <v>55.655964000000004</v>
      </c>
      <c r="U75" s="19">
        <f t="shared" si="29"/>
        <v>54.00977400000001</v>
      </c>
      <c r="V75" s="19">
        <f t="shared" si="29"/>
        <v>63.24563700000001</v>
      </c>
      <c r="W75" s="19">
        <f t="shared" si="8"/>
        <v>50.506092</v>
      </c>
      <c r="X75" s="20"/>
      <c r="Y75" s="20"/>
      <c r="Z75" s="20"/>
      <c r="AA75" s="20"/>
      <c r="AB75" s="20"/>
      <c r="AC75" s="20"/>
      <c r="AD75" s="20"/>
      <c r="AE75" s="20"/>
      <c r="AF75" s="20"/>
      <c r="AG75" s="20"/>
      <c r="AH75" s="20"/>
      <c r="AI75" s="20"/>
    </row>
    <row r="76" spans="1:35" ht="13.5" thickBot="1">
      <c r="A76" s="29"/>
      <c r="B76" s="6" t="s">
        <v>18</v>
      </c>
      <c r="C76" s="33" t="s">
        <v>51</v>
      </c>
      <c r="D76" s="96">
        <f t="shared" si="5"/>
        <v>1027.1866085136494</v>
      </c>
      <c r="E76" s="19">
        <f t="shared" si="5"/>
        <v>961.1167789312781</v>
      </c>
      <c r="F76" s="19">
        <f t="shared" si="5"/>
        <v>1068.9251615774688</v>
      </c>
      <c r="G76" s="19">
        <f t="shared" si="5"/>
        <v>1060.246290797173</v>
      </c>
      <c r="H76" s="19">
        <f t="shared" si="5"/>
        <v>1106.9575733164468</v>
      </c>
      <c r="I76" s="19">
        <f t="shared" si="5"/>
        <v>1057.0878075611104</v>
      </c>
      <c r="J76" s="21">
        <f aca="true" t="shared" si="33" ref="J76:T76">(J31*1000000)</f>
        <v>1086.605424426718</v>
      </c>
      <c r="K76" s="19">
        <f t="shared" si="33"/>
        <v>1121.057210936748</v>
      </c>
      <c r="L76" s="19">
        <f t="shared" si="33"/>
        <v>1153.4551816044168</v>
      </c>
      <c r="M76" s="19">
        <f t="shared" si="33"/>
        <v>1120.6443517649288</v>
      </c>
      <c r="N76" s="19">
        <f t="shared" si="33"/>
        <v>1150.5484148204737</v>
      </c>
      <c r="O76" s="19">
        <f t="shared" si="33"/>
        <v>1152.8088609200943</v>
      </c>
      <c r="P76" s="19">
        <f t="shared" si="33"/>
        <v>1158.3459634347098</v>
      </c>
      <c r="Q76" s="19">
        <f t="shared" si="33"/>
        <v>1160.7428778684146</v>
      </c>
      <c r="R76" s="19">
        <f t="shared" si="33"/>
        <v>1163.5032681595524</v>
      </c>
      <c r="S76" s="19">
        <f t="shared" si="33"/>
        <v>1172.3998704523372</v>
      </c>
      <c r="T76" s="19">
        <f t="shared" si="33"/>
        <v>1182.328217299665</v>
      </c>
      <c r="U76" s="19">
        <f t="shared" si="29"/>
        <v>1198.6154137570234</v>
      </c>
      <c r="V76" s="19">
        <f t="shared" si="29"/>
        <v>1207.8695506262297</v>
      </c>
      <c r="W76" s="19">
        <f t="shared" si="8"/>
        <v>1211.8305363153804</v>
      </c>
      <c r="X76" s="20"/>
      <c r="Y76" s="20"/>
      <c r="Z76" s="20"/>
      <c r="AA76" s="20"/>
      <c r="AB76" s="20"/>
      <c r="AC76" s="20"/>
      <c r="AD76" s="20"/>
      <c r="AE76" s="20"/>
      <c r="AF76" s="20"/>
      <c r="AG76" s="20"/>
      <c r="AH76" s="20"/>
      <c r="AI76" s="20"/>
    </row>
    <row r="77" spans="1:35" ht="13.5" thickBot="1">
      <c r="A77" s="36" t="s">
        <v>25</v>
      </c>
      <c r="B77" s="37"/>
      <c r="C77" s="36"/>
      <c r="D77" s="97">
        <f t="shared" si="5"/>
        <v>21853.18590350657</v>
      </c>
      <c r="E77" s="38">
        <f t="shared" si="5"/>
        <v>21791.05810792138</v>
      </c>
      <c r="F77" s="38">
        <f t="shared" si="5"/>
        <v>21010.16651629891</v>
      </c>
      <c r="G77" s="38">
        <f t="shared" si="5"/>
        <v>21489.71318307863</v>
      </c>
      <c r="H77" s="38">
        <f t="shared" si="5"/>
        <v>21206.742757419226</v>
      </c>
      <c r="I77" s="38">
        <f t="shared" si="5"/>
        <v>21109.452445853385</v>
      </c>
      <c r="J77" s="39">
        <f aca="true" t="shared" si="34" ref="J77:T77">(J32*1000000)</f>
        <v>21100.311668985556</v>
      </c>
      <c r="K77" s="38">
        <f t="shared" si="34"/>
        <v>20865.664653460313</v>
      </c>
      <c r="L77" s="38">
        <f t="shared" si="34"/>
        <v>20903.035561313118</v>
      </c>
      <c r="M77" s="38">
        <f t="shared" si="34"/>
        <v>20427.884246654703</v>
      </c>
      <c r="N77" s="38">
        <f t="shared" si="34"/>
        <v>20666.686799746374</v>
      </c>
      <c r="O77" s="38">
        <f t="shared" si="34"/>
        <v>20292.712540535977</v>
      </c>
      <c r="P77" s="38">
        <f t="shared" si="34"/>
        <v>17942.847040716522</v>
      </c>
      <c r="Q77" s="38">
        <f t="shared" si="34"/>
        <v>16371.158141789205</v>
      </c>
      <c r="R77" s="38">
        <f t="shared" si="34"/>
        <v>15845.544524825413</v>
      </c>
      <c r="S77" s="38">
        <f t="shared" si="34"/>
        <v>15205.695832244699</v>
      </c>
      <c r="T77" s="38">
        <f t="shared" si="34"/>
        <v>16141.330921996565</v>
      </c>
      <c r="U77" s="38">
        <f t="shared" si="29"/>
        <v>16643.958551080046</v>
      </c>
      <c r="V77" s="38">
        <f t="shared" si="29"/>
        <v>14636.946312883547</v>
      </c>
      <c r="W77" s="38">
        <f t="shared" si="8"/>
        <v>14433.02148161278</v>
      </c>
      <c r="X77" s="20"/>
      <c r="Y77" s="20"/>
      <c r="Z77" s="20"/>
      <c r="AA77" s="20"/>
      <c r="AB77" s="20"/>
      <c r="AC77" s="20"/>
      <c r="AD77" s="20"/>
      <c r="AE77" s="20"/>
      <c r="AF77" s="20"/>
      <c r="AG77" s="20"/>
      <c r="AH77" s="20"/>
      <c r="AI77" s="20"/>
    </row>
    <row r="78" spans="1:35" ht="12.75">
      <c r="A78" s="31" t="s">
        <v>26</v>
      </c>
      <c r="B78" s="6" t="s">
        <v>0</v>
      </c>
      <c r="C78" s="33" t="s">
        <v>33</v>
      </c>
      <c r="D78" s="96">
        <f t="shared" si="5"/>
        <v>1228.3327264237498</v>
      </c>
      <c r="E78" s="19">
        <f t="shared" si="5"/>
        <v>1243.4299744237499</v>
      </c>
      <c r="F78" s="19">
        <f t="shared" si="5"/>
        <v>1558.90550605125</v>
      </c>
      <c r="G78" s="19">
        <f t="shared" si="5"/>
        <v>1423.2377398462502</v>
      </c>
      <c r="H78" s="19">
        <f t="shared" si="5"/>
        <v>1474.5662832225005</v>
      </c>
      <c r="I78" s="19">
        <f t="shared" si="5"/>
        <v>1514.49093107625</v>
      </c>
      <c r="J78" s="21">
        <f aca="true" t="shared" si="35" ref="J78:T78">(J33*1000000)</f>
        <v>1511.1378694737498</v>
      </c>
      <c r="K78" s="19">
        <f t="shared" si="35"/>
        <v>1375.7153691849999</v>
      </c>
      <c r="L78" s="19">
        <f t="shared" si="35"/>
        <v>1466.7729362325</v>
      </c>
      <c r="M78" s="19">
        <f t="shared" si="35"/>
        <v>1476.3405044787498</v>
      </c>
      <c r="N78" s="19">
        <f t="shared" si="35"/>
        <v>1233.757074145</v>
      </c>
      <c r="O78" s="19">
        <f t="shared" si="35"/>
        <v>1125.72600955625</v>
      </c>
      <c r="P78" s="19">
        <f t="shared" si="35"/>
        <v>1107.398502954522</v>
      </c>
      <c r="Q78" s="19">
        <f t="shared" si="35"/>
        <v>985.6750596879018</v>
      </c>
      <c r="R78" s="19">
        <f t="shared" si="35"/>
        <v>977.2382510079515</v>
      </c>
      <c r="S78" s="19">
        <f t="shared" si="35"/>
        <v>887.0682949899999</v>
      </c>
      <c r="T78" s="19">
        <f t="shared" si="35"/>
        <v>909.49950253</v>
      </c>
      <c r="U78" s="19">
        <f t="shared" si="29"/>
        <v>1025.7587528071194</v>
      </c>
      <c r="V78" s="19">
        <f t="shared" si="29"/>
        <v>900.691527942775</v>
      </c>
      <c r="W78" s="19">
        <f t="shared" si="8"/>
        <v>861.546587942775</v>
      </c>
      <c r="X78" s="20"/>
      <c r="Y78" s="20"/>
      <c r="Z78" s="20"/>
      <c r="AA78" s="20"/>
      <c r="AB78" s="20"/>
      <c r="AC78" s="20"/>
      <c r="AD78" s="20"/>
      <c r="AE78" s="20"/>
      <c r="AF78" s="20"/>
      <c r="AG78" s="20"/>
      <c r="AH78" s="20"/>
      <c r="AI78" s="20"/>
    </row>
    <row r="79" spans="1:35" ht="12.75">
      <c r="A79" s="29"/>
      <c r="B79" s="6" t="s">
        <v>1</v>
      </c>
      <c r="C79" s="33" t="s">
        <v>34</v>
      </c>
      <c r="D79" s="96">
        <f t="shared" si="5"/>
        <v>99.38268620689658</v>
      </c>
      <c r="E79" s="19">
        <f t="shared" si="5"/>
        <v>99.38268620689658</v>
      </c>
      <c r="F79" s="19">
        <f t="shared" si="5"/>
        <v>99.38268620689658</v>
      </c>
      <c r="G79" s="19">
        <f t="shared" si="5"/>
        <v>92.23671019655174</v>
      </c>
      <c r="H79" s="19">
        <f t="shared" si="5"/>
        <v>106.44002949724141</v>
      </c>
      <c r="I79" s="19">
        <f t="shared" si="5"/>
        <v>108.20334143793107</v>
      </c>
      <c r="J79" s="21">
        <f aca="true" t="shared" si="36" ref="J79:T79">(J34*1000000)</f>
        <v>123.32488014000003</v>
      </c>
      <c r="K79" s="19">
        <f t="shared" si="36"/>
        <v>173.08122678000004</v>
      </c>
      <c r="L79" s="19">
        <f t="shared" si="36"/>
        <v>164.27706372000003</v>
      </c>
      <c r="M79" s="19">
        <f t="shared" si="36"/>
        <v>119.83776056821803</v>
      </c>
      <c r="N79" s="19">
        <f t="shared" si="36"/>
        <v>140.39774205534005</v>
      </c>
      <c r="O79" s="19">
        <f t="shared" si="36"/>
        <v>134.03157768</v>
      </c>
      <c r="P79" s="19">
        <f t="shared" si="36"/>
        <v>135.33516612000008</v>
      </c>
      <c r="Q79" s="19">
        <f t="shared" si="36"/>
        <v>134.82043344000002</v>
      </c>
      <c r="R79" s="19">
        <f t="shared" si="36"/>
        <v>139.22487810000007</v>
      </c>
      <c r="S79" s="19">
        <f t="shared" si="36"/>
        <v>131.75523900000005</v>
      </c>
      <c r="T79" s="19">
        <f t="shared" si="36"/>
        <v>133.88205600000006</v>
      </c>
      <c r="U79" s="19">
        <f t="shared" si="29"/>
        <v>125.27811450000004</v>
      </c>
      <c r="V79" s="19">
        <f t="shared" si="29"/>
        <v>127.63050300000005</v>
      </c>
      <c r="W79" s="19">
        <f t="shared" si="8"/>
        <v>127.63050300000005</v>
      </c>
      <c r="X79" s="20"/>
      <c r="Y79" s="20"/>
      <c r="Z79" s="20"/>
      <c r="AA79" s="20"/>
      <c r="AB79" s="20"/>
      <c r="AC79" s="20"/>
      <c r="AD79" s="20"/>
      <c r="AE79" s="20"/>
      <c r="AF79" s="20"/>
      <c r="AG79" s="20"/>
      <c r="AH79" s="20"/>
      <c r="AI79" s="20"/>
    </row>
    <row r="80" spans="1:35" ht="12.75">
      <c r="A80" s="29"/>
      <c r="B80" s="6" t="s">
        <v>2</v>
      </c>
      <c r="C80" s="33" t="s">
        <v>35</v>
      </c>
      <c r="D80" s="96">
        <f t="shared" si="5"/>
        <v>436.35007461282606</v>
      </c>
      <c r="E80" s="19">
        <f t="shared" si="5"/>
        <v>419.96534140957465</v>
      </c>
      <c r="F80" s="19">
        <f t="shared" si="5"/>
        <v>405.0512634782168</v>
      </c>
      <c r="G80" s="19">
        <f t="shared" si="5"/>
        <v>399.7233411117696</v>
      </c>
      <c r="H80" s="19">
        <f t="shared" si="5"/>
        <v>389.7599785592446</v>
      </c>
      <c r="I80" s="19">
        <f t="shared" si="5"/>
        <v>386.1291189815732</v>
      </c>
      <c r="J80" s="21">
        <f aca="true" t="shared" si="37" ref="J80:T80">(J35*1000000)</f>
        <v>382.278162439532</v>
      </c>
      <c r="K80" s="19">
        <f t="shared" si="37"/>
        <v>377.3520424577418</v>
      </c>
      <c r="L80" s="19">
        <f t="shared" si="37"/>
        <v>402.9199736635624</v>
      </c>
      <c r="M80" s="19">
        <f t="shared" si="37"/>
        <v>416.9025266060818</v>
      </c>
      <c r="N80" s="19">
        <f t="shared" si="37"/>
        <v>477.20410812857835</v>
      </c>
      <c r="O80" s="19">
        <f t="shared" si="37"/>
        <v>484.4006019078159</v>
      </c>
      <c r="P80" s="19">
        <f t="shared" si="37"/>
        <v>477.7317389755646</v>
      </c>
      <c r="Q80" s="19">
        <f t="shared" si="37"/>
        <v>484.0949485227051</v>
      </c>
      <c r="R80" s="19">
        <f t="shared" si="37"/>
        <v>475.2332324055218</v>
      </c>
      <c r="S80" s="19">
        <f t="shared" si="37"/>
        <v>477.05169809702863</v>
      </c>
      <c r="T80" s="19">
        <f t="shared" si="37"/>
        <v>456.4926967030331</v>
      </c>
      <c r="U80" s="19">
        <f t="shared" si="29"/>
        <v>483.0231266842293</v>
      </c>
      <c r="V80" s="19">
        <f t="shared" si="29"/>
        <v>497.1769348471225</v>
      </c>
      <c r="W80" s="19">
        <f t="shared" si="8"/>
        <v>416.57436187125666</v>
      </c>
      <c r="X80" s="20"/>
      <c r="Y80" s="20"/>
      <c r="Z80" s="20"/>
      <c r="AA80" s="20"/>
      <c r="AB80" s="20"/>
      <c r="AC80" s="20"/>
      <c r="AD80" s="20"/>
      <c r="AE80" s="20"/>
      <c r="AF80" s="20"/>
      <c r="AG80" s="20"/>
      <c r="AH80" s="20"/>
      <c r="AI80" s="20"/>
    </row>
    <row r="81" spans="1:35" ht="12.75">
      <c r="A81" s="29"/>
      <c r="B81" s="6" t="s">
        <v>3</v>
      </c>
      <c r="C81" s="33" t="s">
        <v>36</v>
      </c>
      <c r="D81" s="96">
        <f t="shared" si="5"/>
        <v>1290.071792806254</v>
      </c>
      <c r="E81" s="19">
        <f t="shared" si="5"/>
        <v>1292.756662615269</v>
      </c>
      <c r="F81" s="19">
        <f t="shared" si="5"/>
        <v>1317.4929029520238</v>
      </c>
      <c r="G81" s="19">
        <f t="shared" si="5"/>
        <v>1439.1523843297666</v>
      </c>
      <c r="H81" s="19">
        <f t="shared" si="5"/>
        <v>1760.1306804818546</v>
      </c>
      <c r="I81" s="19">
        <f t="shared" si="5"/>
        <v>2170.2663137639697</v>
      </c>
      <c r="J81" s="21">
        <f aca="true" t="shared" si="38" ref="J81:T81">(J36*1000000)</f>
        <v>1879.2572212527177</v>
      </c>
      <c r="K81" s="19">
        <f t="shared" si="38"/>
        <v>1770.5834651999646</v>
      </c>
      <c r="L81" s="19">
        <f t="shared" si="38"/>
        <v>1829.060863386433</v>
      </c>
      <c r="M81" s="19">
        <f t="shared" si="38"/>
        <v>1628.7402813475383</v>
      </c>
      <c r="N81" s="19">
        <f t="shared" si="38"/>
        <v>1752.8118844787377</v>
      </c>
      <c r="O81" s="19">
        <f t="shared" si="38"/>
        <v>1622.1089883893394</v>
      </c>
      <c r="P81" s="19">
        <f t="shared" si="38"/>
        <v>1496.7155572105607</v>
      </c>
      <c r="Q81" s="19">
        <f t="shared" si="38"/>
        <v>1390.6308255529423</v>
      </c>
      <c r="R81" s="19">
        <f t="shared" si="38"/>
        <v>1277.8975288610823</v>
      </c>
      <c r="S81" s="19">
        <f t="shared" si="38"/>
        <v>1178.1871817904866</v>
      </c>
      <c r="T81" s="19">
        <f t="shared" si="38"/>
        <v>1142.516986601852</v>
      </c>
      <c r="U81" s="19">
        <f t="shared" si="29"/>
        <v>1044.0727191916098</v>
      </c>
      <c r="V81" s="19">
        <f t="shared" si="29"/>
        <v>1026.3917537787272</v>
      </c>
      <c r="W81" s="19">
        <f t="shared" si="8"/>
        <v>943.6036599822816</v>
      </c>
      <c r="X81" s="20"/>
      <c r="Y81" s="20"/>
      <c r="Z81" s="20"/>
      <c r="AA81" s="20"/>
      <c r="AB81" s="20"/>
      <c r="AC81" s="20"/>
      <c r="AD81" s="20"/>
      <c r="AE81" s="20"/>
      <c r="AF81" s="20"/>
      <c r="AG81" s="20"/>
      <c r="AH81" s="20"/>
      <c r="AI81" s="20"/>
    </row>
    <row r="82" spans="1:35" ht="12.75">
      <c r="A82" s="29"/>
      <c r="B82" s="6" t="s">
        <v>4</v>
      </c>
      <c r="C82" s="33" t="s">
        <v>37</v>
      </c>
      <c r="D82" s="96">
        <f t="shared" si="5"/>
        <v>383.24753046812833</v>
      </c>
      <c r="E82" s="19">
        <f t="shared" si="5"/>
        <v>383.24753046812833</v>
      </c>
      <c r="F82" s="19">
        <f t="shared" si="5"/>
        <v>250.5698142851861</v>
      </c>
      <c r="G82" s="19">
        <f t="shared" si="5"/>
        <v>330.83910951459507</v>
      </c>
      <c r="H82" s="19">
        <f t="shared" si="5"/>
        <v>301.2452896049687</v>
      </c>
      <c r="I82" s="19">
        <f t="shared" si="5"/>
        <v>298.3461525411325</v>
      </c>
      <c r="J82" s="21">
        <f aca="true" t="shared" si="39" ref="J82:T82">(J37*1000000)</f>
        <v>318.7798093422</v>
      </c>
      <c r="K82" s="19">
        <f t="shared" si="39"/>
        <v>315.35918341020005</v>
      </c>
      <c r="L82" s="19">
        <f t="shared" si="39"/>
        <v>356.1467011902</v>
      </c>
      <c r="M82" s="19">
        <f t="shared" si="39"/>
        <v>254.79384965996397</v>
      </c>
      <c r="N82" s="19">
        <f t="shared" si="39"/>
        <v>255.870778179393</v>
      </c>
      <c r="O82" s="19">
        <f t="shared" si="39"/>
        <v>424.01334745800006</v>
      </c>
      <c r="P82" s="19">
        <f t="shared" si="39"/>
        <v>359.617684167</v>
      </c>
      <c r="Q82" s="19">
        <f t="shared" si="39"/>
        <v>229.72179439951304</v>
      </c>
      <c r="R82" s="19">
        <f t="shared" si="39"/>
        <v>269.3043528630667</v>
      </c>
      <c r="S82" s="19">
        <f t="shared" si="39"/>
        <v>210.5617038597096</v>
      </c>
      <c r="T82" s="19">
        <f t="shared" si="39"/>
        <v>205.46873497163705</v>
      </c>
      <c r="U82" s="19">
        <f t="shared" si="29"/>
        <v>291.04327545787845</v>
      </c>
      <c r="V82" s="19">
        <f t="shared" si="29"/>
        <v>179.64747929726624</v>
      </c>
      <c r="W82" s="19">
        <f t="shared" si="8"/>
        <v>179.64747929726624</v>
      </c>
      <c r="X82" s="20"/>
      <c r="Y82" s="20"/>
      <c r="Z82" s="20"/>
      <c r="AA82" s="20"/>
      <c r="AB82" s="20"/>
      <c r="AC82" s="20"/>
      <c r="AD82" s="20"/>
      <c r="AE82" s="20"/>
      <c r="AF82" s="20"/>
      <c r="AG82" s="20"/>
      <c r="AH82" s="20"/>
      <c r="AI82" s="20"/>
    </row>
    <row r="83" spans="1:35" ht="12.75">
      <c r="A83" s="29"/>
      <c r="B83" s="6" t="s">
        <v>5</v>
      </c>
      <c r="C83" s="33" t="s">
        <v>38</v>
      </c>
      <c r="D83" s="96">
        <f t="shared" si="5"/>
        <v>408.975871617517</v>
      </c>
      <c r="E83" s="19">
        <f t="shared" si="5"/>
        <v>408.975871617517</v>
      </c>
      <c r="F83" s="19">
        <f t="shared" si="5"/>
        <v>294.2137605367171</v>
      </c>
      <c r="G83" s="19">
        <f t="shared" si="5"/>
        <v>360.4108134400204</v>
      </c>
      <c r="H83" s="19">
        <f t="shared" si="5"/>
        <v>321.9161936495982</v>
      </c>
      <c r="I83" s="19">
        <f t="shared" si="5"/>
        <v>322.1856901968883</v>
      </c>
      <c r="J83" s="21">
        <f aca="true" t="shared" si="40" ref="J83:T83">(J38*1000000)</f>
        <v>332.30894027022157</v>
      </c>
      <c r="K83" s="19">
        <f t="shared" si="40"/>
        <v>336.7129767997216</v>
      </c>
      <c r="L83" s="19">
        <f t="shared" si="40"/>
        <v>380.9222525193466</v>
      </c>
      <c r="M83" s="19">
        <f t="shared" si="40"/>
        <v>286.0859680092706</v>
      </c>
      <c r="N83" s="19">
        <f t="shared" si="40"/>
        <v>288.0329442491221</v>
      </c>
      <c r="O83" s="19">
        <f t="shared" si="40"/>
        <v>293.7346339652716</v>
      </c>
      <c r="P83" s="19">
        <f t="shared" si="40"/>
        <v>270.49210739877157</v>
      </c>
      <c r="Q83" s="19">
        <f t="shared" si="40"/>
        <v>255.74947699709958</v>
      </c>
      <c r="R83" s="19">
        <f t="shared" si="40"/>
        <v>257.9836042912132</v>
      </c>
      <c r="S83" s="19">
        <f t="shared" si="40"/>
        <v>250.82450456017867</v>
      </c>
      <c r="T83" s="19">
        <f t="shared" si="40"/>
        <v>244.22289535347608</v>
      </c>
      <c r="U83" s="19">
        <f t="shared" si="29"/>
        <v>249.98408423696753</v>
      </c>
      <c r="V83" s="19">
        <f t="shared" si="29"/>
        <v>241.57230637913403</v>
      </c>
      <c r="W83" s="19">
        <f t="shared" si="8"/>
        <v>241.57230637913403</v>
      </c>
      <c r="X83" s="20"/>
      <c r="Y83" s="20"/>
      <c r="Z83" s="20"/>
      <c r="AA83" s="20"/>
      <c r="AB83" s="20"/>
      <c r="AC83" s="20"/>
      <c r="AD83" s="20"/>
      <c r="AE83" s="20"/>
      <c r="AF83" s="20"/>
      <c r="AG83" s="20"/>
      <c r="AH83" s="20"/>
      <c r="AI83" s="20"/>
    </row>
    <row r="84" spans="1:35" ht="12.75">
      <c r="A84" s="29"/>
      <c r="B84" s="6" t="s">
        <v>19</v>
      </c>
      <c r="C84" s="33" t="s">
        <v>52</v>
      </c>
      <c r="D84" s="96">
        <f t="shared" si="5"/>
        <v>4610.746226438066</v>
      </c>
      <c r="E84" s="19">
        <f t="shared" si="5"/>
        <v>4601.147511530544</v>
      </c>
      <c r="F84" s="19">
        <f t="shared" si="5"/>
        <v>4723.696301621532</v>
      </c>
      <c r="G84" s="19">
        <f t="shared" si="5"/>
        <v>4722.593400837563</v>
      </c>
      <c r="H84" s="19">
        <f t="shared" si="5"/>
        <v>4684.674529142318</v>
      </c>
      <c r="I84" s="19">
        <f t="shared" si="5"/>
        <v>4693.091250217041</v>
      </c>
      <c r="J84" s="21">
        <f aca="true" t="shared" si="41" ref="J84:T84">(J39*1000000)</f>
        <v>4729.34674194275</v>
      </c>
      <c r="K84" s="19">
        <f t="shared" si="41"/>
        <v>4755.98317676928</v>
      </c>
      <c r="L84" s="19">
        <f t="shared" si="41"/>
        <v>4690.860855170647</v>
      </c>
      <c r="M84" s="19">
        <f t="shared" si="41"/>
        <v>4677.313850880077</v>
      </c>
      <c r="N84" s="19">
        <f t="shared" si="41"/>
        <v>4823.578877876345</v>
      </c>
      <c r="O84" s="19">
        <f t="shared" si="41"/>
        <v>4764.638467339599</v>
      </c>
      <c r="P84" s="19">
        <f t="shared" si="41"/>
        <v>4225.016714395945</v>
      </c>
      <c r="Q84" s="19">
        <f t="shared" si="41"/>
        <v>3647.1288766340917</v>
      </c>
      <c r="R84" s="19">
        <f t="shared" si="41"/>
        <v>3476.0815597681535</v>
      </c>
      <c r="S84" s="19">
        <f t="shared" si="41"/>
        <v>3371.83838740768</v>
      </c>
      <c r="T84" s="19">
        <f t="shared" si="41"/>
        <v>3628.1129370690305</v>
      </c>
      <c r="U84" s="19">
        <f t="shared" si="29"/>
        <v>3780.7354721702504</v>
      </c>
      <c r="V84" s="19">
        <f t="shared" si="29"/>
        <v>3273.7872360429483</v>
      </c>
      <c r="W84" s="19">
        <f t="shared" si="8"/>
        <v>3230.4907941523634</v>
      </c>
      <c r="X84" s="20"/>
      <c r="Y84" s="20"/>
      <c r="Z84" s="20"/>
      <c r="AA84" s="20"/>
      <c r="AB84" s="20" t="s">
        <v>75</v>
      </c>
      <c r="AC84" s="20"/>
      <c r="AD84" s="20"/>
      <c r="AE84" s="20"/>
      <c r="AF84" s="20"/>
      <c r="AG84" s="20"/>
      <c r="AH84" s="20"/>
      <c r="AI84" s="20"/>
    </row>
    <row r="85" spans="1:35" ht="13.5" thickBot="1">
      <c r="A85" s="29"/>
      <c r="B85" s="6" t="s">
        <v>18</v>
      </c>
      <c r="C85" s="33" t="s">
        <v>51</v>
      </c>
      <c r="D85" s="96">
        <f t="shared" si="5"/>
        <v>0</v>
      </c>
      <c r="E85" s="19">
        <f t="shared" si="5"/>
        <v>0</v>
      </c>
      <c r="F85" s="19">
        <f t="shared" si="5"/>
        <v>0</v>
      </c>
      <c r="G85" s="19">
        <f t="shared" si="5"/>
        <v>0</v>
      </c>
      <c r="H85" s="19">
        <f t="shared" si="5"/>
        <v>0</v>
      </c>
      <c r="I85" s="19">
        <f t="shared" si="5"/>
        <v>0</v>
      </c>
      <c r="J85" s="21">
        <f aca="true" t="shared" si="42" ref="J85:T85">(J40*1000000)</f>
        <v>0</v>
      </c>
      <c r="K85" s="19">
        <f t="shared" si="42"/>
        <v>0</v>
      </c>
      <c r="L85" s="19">
        <f t="shared" si="42"/>
        <v>0</v>
      </c>
      <c r="M85" s="19">
        <f t="shared" si="42"/>
        <v>0</v>
      </c>
      <c r="N85" s="19">
        <f t="shared" si="42"/>
        <v>0</v>
      </c>
      <c r="O85" s="19">
        <f t="shared" si="42"/>
        <v>0</v>
      </c>
      <c r="P85" s="19">
        <f t="shared" si="42"/>
        <v>0</v>
      </c>
      <c r="Q85" s="19">
        <f t="shared" si="42"/>
        <v>0</v>
      </c>
      <c r="R85" s="19">
        <f t="shared" si="42"/>
        <v>0</v>
      </c>
      <c r="S85" s="19">
        <f t="shared" si="42"/>
        <v>0</v>
      </c>
      <c r="T85" s="19">
        <f t="shared" si="42"/>
        <v>0</v>
      </c>
      <c r="U85" s="19">
        <f t="shared" si="29"/>
        <v>0</v>
      </c>
      <c r="V85" s="19">
        <f t="shared" si="29"/>
        <v>0</v>
      </c>
      <c r="W85" s="19">
        <f t="shared" si="8"/>
        <v>0</v>
      </c>
      <c r="X85" s="20"/>
      <c r="Y85" s="20"/>
      <c r="Z85" s="20"/>
      <c r="AA85" s="20"/>
      <c r="AB85" s="20"/>
      <c r="AC85" s="20"/>
      <c r="AD85" s="20"/>
      <c r="AE85" s="20"/>
      <c r="AF85" s="20"/>
      <c r="AG85" s="20"/>
      <c r="AH85" s="20"/>
      <c r="AI85" s="20"/>
    </row>
    <row r="86" spans="1:35" ht="13.5" thickBot="1">
      <c r="A86" s="40" t="s">
        <v>27</v>
      </c>
      <c r="B86" s="41"/>
      <c r="C86" s="42"/>
      <c r="D86" s="98">
        <f t="shared" si="5"/>
        <v>8457.106908573438</v>
      </c>
      <c r="E86" s="43">
        <f t="shared" si="5"/>
        <v>8448.905578271679</v>
      </c>
      <c r="F86" s="43">
        <f t="shared" si="5"/>
        <v>8649.312235131823</v>
      </c>
      <c r="G86" s="43">
        <f t="shared" si="5"/>
        <v>8768.193499276516</v>
      </c>
      <c r="H86" s="43">
        <f t="shared" si="5"/>
        <v>9038.732984157725</v>
      </c>
      <c r="I86" s="43">
        <f t="shared" si="5"/>
        <v>9492.712798214787</v>
      </c>
      <c r="J86" s="44">
        <f aca="true" t="shared" si="43" ref="J86:T86">(J41*1000000)</f>
        <v>9276.43362486117</v>
      </c>
      <c r="K86" s="43">
        <f t="shared" si="43"/>
        <v>9104.78744060191</v>
      </c>
      <c r="L86" s="43">
        <f t="shared" si="43"/>
        <v>9290.96064588269</v>
      </c>
      <c r="M86" s="43">
        <f t="shared" si="43"/>
        <v>8860.014741549898</v>
      </c>
      <c r="N86" s="43">
        <f t="shared" si="43"/>
        <v>8971.653409112518</v>
      </c>
      <c r="O86" s="43">
        <f t="shared" si="43"/>
        <v>8848.653626296275</v>
      </c>
      <c r="P86" s="43">
        <f t="shared" si="43"/>
        <v>8072.307471222364</v>
      </c>
      <c r="Q86" s="43">
        <f t="shared" si="43"/>
        <v>7127.821415234254</v>
      </c>
      <c r="R86" s="43">
        <f t="shared" si="43"/>
        <v>6872.963407296988</v>
      </c>
      <c r="S86" s="43">
        <f t="shared" si="43"/>
        <v>6507.287009705084</v>
      </c>
      <c r="T86" s="43">
        <f t="shared" si="43"/>
        <v>6720.19580922903</v>
      </c>
      <c r="U86" s="43">
        <f t="shared" si="29"/>
        <v>6999.895545048054</v>
      </c>
      <c r="V86" s="43">
        <f t="shared" si="29"/>
        <v>6246.897741287973</v>
      </c>
      <c r="W86" s="43">
        <f t="shared" si="8"/>
        <v>6001.065692625077</v>
      </c>
      <c r="X86" s="20"/>
      <c r="Y86" s="20"/>
      <c r="Z86" s="20"/>
      <c r="AA86" s="20"/>
      <c r="AB86" s="20"/>
      <c r="AC86" s="20"/>
      <c r="AD86" s="20"/>
      <c r="AE86" s="20"/>
      <c r="AF86" s="20"/>
      <c r="AG86" s="20"/>
      <c r="AH86" s="20"/>
      <c r="AI86" s="20"/>
    </row>
    <row r="87" spans="1:35" ht="13.5" thickBot="1">
      <c r="A87" s="36" t="s">
        <v>28</v>
      </c>
      <c r="B87" s="37"/>
      <c r="C87" s="36"/>
      <c r="D87" s="97">
        <f t="shared" si="5"/>
        <v>17.31808919560049</v>
      </c>
      <c r="E87" s="38">
        <f t="shared" si="5"/>
        <v>17.39062059672945</v>
      </c>
      <c r="F87" s="38">
        <f t="shared" si="5"/>
        <v>19.070526028016364</v>
      </c>
      <c r="G87" s="38">
        <f t="shared" si="5"/>
        <v>912.8077581331353</v>
      </c>
      <c r="H87" s="38">
        <f t="shared" si="5"/>
        <v>1995.9985462852403</v>
      </c>
      <c r="I87" s="38">
        <f t="shared" si="5"/>
        <v>3438.2259971693875</v>
      </c>
      <c r="J87" s="39">
        <f aca="true" t="shared" si="44" ref="J87:T87">(J42*1000000)</f>
        <v>5060.5577226049445</v>
      </c>
      <c r="K87" s="38">
        <f t="shared" si="44"/>
        <v>6846.550067753103</v>
      </c>
      <c r="L87" s="38">
        <f t="shared" si="44"/>
        <v>8972.500083944171</v>
      </c>
      <c r="M87" s="38">
        <f t="shared" si="44"/>
        <v>10181.252066002222</v>
      </c>
      <c r="N87" s="38">
        <f t="shared" si="44"/>
        <v>12024.45875394559</v>
      </c>
      <c r="O87" s="38">
        <f t="shared" si="44"/>
        <v>13705.980655664735</v>
      </c>
      <c r="P87" s="38">
        <f t="shared" si="44"/>
        <v>15655.080867904164</v>
      </c>
      <c r="Q87" s="38">
        <f t="shared" si="44"/>
        <v>16864.42099316757</v>
      </c>
      <c r="R87" s="38">
        <f t="shared" si="44"/>
        <v>17669.007054273923</v>
      </c>
      <c r="S87" s="38">
        <f t="shared" si="44"/>
        <v>18384.40053944949</v>
      </c>
      <c r="T87" s="38">
        <f t="shared" si="44"/>
        <v>18656.48990560783</v>
      </c>
      <c r="U87" s="38">
        <f t="shared" si="29"/>
        <v>18970.177764128475</v>
      </c>
      <c r="V87" s="38">
        <f t="shared" si="29"/>
        <v>19094.333602718758</v>
      </c>
      <c r="W87" s="38">
        <f t="shared" si="8"/>
        <v>18724.566921300004</v>
      </c>
      <c r="X87" s="20"/>
      <c r="Y87" s="20"/>
      <c r="Z87" s="20"/>
      <c r="AA87" s="20"/>
      <c r="AB87" s="20"/>
      <c r="AC87" s="20"/>
      <c r="AD87" s="20"/>
      <c r="AE87" s="20"/>
      <c r="AF87" s="20"/>
      <c r="AG87" s="20"/>
      <c r="AH87" s="20"/>
      <c r="AI87" s="20"/>
    </row>
    <row r="88" spans="1:35" ht="13.5" thickBot="1">
      <c r="A88" s="36" t="s">
        <v>29</v>
      </c>
      <c r="B88" s="37"/>
      <c r="C88" s="36"/>
      <c r="D88" s="97">
        <f t="shared" si="5"/>
        <v>33.31680890041494</v>
      </c>
      <c r="E88" s="38">
        <f t="shared" si="5"/>
        <v>33.28466021710971</v>
      </c>
      <c r="F88" s="38">
        <f t="shared" si="5"/>
        <v>33.297101375490534</v>
      </c>
      <c r="G88" s="38">
        <f t="shared" si="5"/>
        <v>33.440334202137436</v>
      </c>
      <c r="H88" s="38">
        <f t="shared" si="5"/>
        <v>33.64905239762702</v>
      </c>
      <c r="I88" s="38">
        <f t="shared" si="5"/>
        <v>34.99351821461036</v>
      </c>
      <c r="J88" s="39">
        <f aca="true" t="shared" si="45" ref="J88:T88">(J43*1000000)</f>
        <v>37.10316492452771</v>
      </c>
      <c r="K88" s="38">
        <f t="shared" si="45"/>
        <v>39.98659250177791</v>
      </c>
      <c r="L88" s="38">
        <f t="shared" si="45"/>
        <v>8.835268549606857</v>
      </c>
      <c r="M88" s="38">
        <f t="shared" si="45"/>
        <v>11.898751040507891</v>
      </c>
      <c r="N88" s="38">
        <f t="shared" si="45"/>
        <v>13.392499875771268</v>
      </c>
      <c r="O88" s="38">
        <f t="shared" si="45"/>
        <v>14.146733095773417</v>
      </c>
      <c r="P88" s="38">
        <f t="shared" si="45"/>
        <v>14.289170563116693</v>
      </c>
      <c r="Q88" s="38">
        <f t="shared" si="45"/>
        <v>13.914471512971426</v>
      </c>
      <c r="R88" s="38">
        <f t="shared" si="45"/>
        <v>12.611898115712505</v>
      </c>
      <c r="S88" s="38">
        <f t="shared" si="45"/>
        <v>10.726791046101258</v>
      </c>
      <c r="T88" s="38">
        <f t="shared" si="45"/>
        <v>8.975734360474695</v>
      </c>
      <c r="U88" s="38">
        <f t="shared" si="29"/>
        <v>6.993996370996389</v>
      </c>
      <c r="V88" s="38">
        <f t="shared" si="29"/>
        <v>5.506157510263946</v>
      </c>
      <c r="W88" s="38">
        <f t="shared" si="8"/>
        <v>5.264632134790335</v>
      </c>
      <c r="X88" s="20"/>
      <c r="Y88" s="20"/>
      <c r="Z88" s="20"/>
      <c r="AA88" s="20"/>
      <c r="AB88" s="20"/>
      <c r="AC88" s="20"/>
      <c r="AD88" s="20"/>
      <c r="AE88" s="20"/>
      <c r="AF88" s="20"/>
      <c r="AG88" s="20"/>
      <c r="AH88" s="20"/>
      <c r="AI88" s="20"/>
    </row>
    <row r="89" spans="1:35" ht="16.5" thickBot="1">
      <c r="A89" s="45" t="s">
        <v>30</v>
      </c>
      <c r="B89" s="46"/>
      <c r="C89" s="47"/>
      <c r="D89" s="99">
        <f t="shared" si="5"/>
        <v>0</v>
      </c>
      <c r="E89" s="48">
        <f t="shared" si="5"/>
        <v>0</v>
      </c>
      <c r="F89" s="48">
        <f t="shared" si="5"/>
        <v>0</v>
      </c>
      <c r="G89" s="48">
        <f t="shared" si="5"/>
        <v>0</v>
      </c>
      <c r="H89" s="48">
        <f t="shared" si="5"/>
        <v>0</v>
      </c>
      <c r="I89" s="48">
        <f t="shared" si="5"/>
        <v>0</v>
      </c>
      <c r="J89" s="49">
        <f aca="true" t="shared" si="46" ref="J89:T89">(J44*1000000)</f>
        <v>0</v>
      </c>
      <c r="K89" s="48">
        <f t="shared" si="46"/>
        <v>0</v>
      </c>
      <c r="L89" s="48">
        <f t="shared" si="46"/>
        <v>67.42520944944114</v>
      </c>
      <c r="M89" s="48">
        <f t="shared" si="46"/>
        <v>89.20069111607211</v>
      </c>
      <c r="N89" s="48">
        <f t="shared" si="46"/>
        <v>87.38851516682669</v>
      </c>
      <c r="O89" s="48">
        <f t="shared" si="46"/>
        <v>86.79002429859509</v>
      </c>
      <c r="P89" s="48">
        <f t="shared" si="46"/>
        <v>128.73792067068206</v>
      </c>
      <c r="Q89" s="48">
        <f t="shared" si="46"/>
        <v>157.36813852516545</v>
      </c>
      <c r="R89" s="48">
        <f t="shared" si="46"/>
        <v>299.57830764069126</v>
      </c>
      <c r="S89" s="48">
        <f t="shared" si="46"/>
        <v>469.5778585393501</v>
      </c>
      <c r="T89" s="48">
        <f t="shared" si="46"/>
        <v>252.84600247948003</v>
      </c>
      <c r="U89" s="48">
        <f t="shared" si="29"/>
        <v>180.98422346586716</v>
      </c>
      <c r="V89" s="48">
        <f t="shared" si="29"/>
        <v>149.9482805908805</v>
      </c>
      <c r="W89" s="48">
        <f t="shared" si="8"/>
        <v>149.96540981235432</v>
      </c>
      <c r="X89" s="20"/>
      <c r="Y89" s="20"/>
      <c r="Z89" s="20"/>
      <c r="AA89" s="20"/>
      <c r="AB89" s="20"/>
      <c r="AC89" s="20"/>
      <c r="AD89" s="20"/>
      <c r="AE89" s="20"/>
      <c r="AF89" s="20"/>
      <c r="AG89" s="20"/>
      <c r="AH89" s="20"/>
      <c r="AI89" s="20"/>
    </row>
    <row r="90" spans="1:45" ht="13.5" thickBot="1">
      <c r="A90" s="30" t="s">
        <v>20</v>
      </c>
      <c r="B90" s="25"/>
      <c r="C90" s="34"/>
      <c r="D90" s="100">
        <f>(D45*1000000)</f>
        <v>612055.7695900393</v>
      </c>
      <c r="E90" s="26">
        <f t="shared" si="5"/>
        <v>610288.1470362762</v>
      </c>
      <c r="F90" s="26">
        <f t="shared" si="5"/>
        <v>705845.5436638014</v>
      </c>
      <c r="G90" s="26">
        <f t="shared" si="5"/>
        <v>659735.9388067577</v>
      </c>
      <c r="H90" s="26">
        <f t="shared" si="5"/>
        <v>684266.3320345659</v>
      </c>
      <c r="I90" s="26">
        <f t="shared" si="5"/>
        <v>692812.531083133</v>
      </c>
      <c r="J90" s="27">
        <f aca="true" t="shared" si="47" ref="J90:T90">(J45*1000000)</f>
        <v>698270.2529961612</v>
      </c>
      <c r="K90" s="26">
        <f t="shared" si="47"/>
        <v>667912.9028045277</v>
      </c>
      <c r="L90" s="26">
        <f t="shared" si="47"/>
        <v>738967.9307494367</v>
      </c>
      <c r="M90" s="26">
        <f t="shared" si="47"/>
        <v>641116.8367163382</v>
      </c>
      <c r="N90" s="26">
        <f t="shared" si="47"/>
        <v>560008.6432329854</v>
      </c>
      <c r="O90" s="26">
        <f t="shared" si="47"/>
        <v>600387.8209452794</v>
      </c>
      <c r="P90" s="26">
        <f t="shared" si="47"/>
        <v>565751.1154393688</v>
      </c>
      <c r="Q90" s="26">
        <f t="shared" si="47"/>
        <v>457260.713619945</v>
      </c>
      <c r="R90" s="26">
        <f t="shared" si="47"/>
        <v>489314.7239972879</v>
      </c>
      <c r="S90" s="26">
        <f t="shared" si="47"/>
        <v>444257.88120622124</v>
      </c>
      <c r="T90" s="26">
        <f t="shared" si="47"/>
        <v>454756.607488003</v>
      </c>
      <c r="U90" s="26">
        <f t="shared" si="29"/>
        <v>535587.748125802</v>
      </c>
      <c r="V90" s="26">
        <f t="shared" si="29"/>
        <v>448940.2136301662</v>
      </c>
      <c r="W90" s="26">
        <f t="shared" si="8"/>
        <v>438750.9940961856</v>
      </c>
      <c r="X90" s="20"/>
      <c r="Y90" s="20"/>
      <c r="Z90" s="20"/>
      <c r="AA90" s="20"/>
      <c r="AB90" s="20"/>
      <c r="AC90" s="20"/>
      <c r="AD90" s="20"/>
      <c r="AE90" s="20"/>
      <c r="AF90" s="20"/>
      <c r="AG90" s="20"/>
      <c r="AH90" s="20"/>
      <c r="AI90" s="20"/>
      <c r="AR90">
        <v>428002</v>
      </c>
      <c r="AS90">
        <v>428002</v>
      </c>
    </row>
    <row r="91" spans="1:64" ht="12.75">
      <c r="A91" s="117" t="s">
        <v>67</v>
      </c>
      <c r="D91" s="103">
        <v>122411</v>
      </c>
      <c r="E91" s="103">
        <v>122411</v>
      </c>
      <c r="F91" s="103">
        <v>122411</v>
      </c>
      <c r="G91" s="103">
        <v>122411</v>
      </c>
      <c r="H91" s="103">
        <v>122411</v>
      </c>
      <c r="I91" s="103">
        <v>122411</v>
      </c>
      <c r="J91" s="103">
        <v>122411</v>
      </c>
      <c r="K91" s="103">
        <v>122411</v>
      </c>
      <c r="L91" s="103">
        <v>122411</v>
      </c>
      <c r="M91" s="103">
        <v>122411</v>
      </c>
      <c r="N91" s="103">
        <v>122411</v>
      </c>
      <c r="O91" s="103">
        <v>122411</v>
      </c>
      <c r="P91" s="103">
        <v>122411</v>
      </c>
      <c r="Q91" s="103">
        <v>122411</v>
      </c>
      <c r="R91" s="103">
        <v>122411</v>
      </c>
      <c r="S91" s="103">
        <v>122411</v>
      </c>
      <c r="T91" s="103">
        <v>122411</v>
      </c>
      <c r="U91" s="103">
        <v>122411</v>
      </c>
      <c r="V91" s="103">
        <v>122411</v>
      </c>
      <c r="W91" s="103">
        <v>122411</v>
      </c>
      <c r="X91" s="103">
        <v>122411</v>
      </c>
      <c r="Y91" s="103">
        <v>122411</v>
      </c>
      <c r="Z91" s="103">
        <v>122411</v>
      </c>
      <c r="AA91" s="103">
        <v>122411</v>
      </c>
      <c r="AB91" s="103">
        <v>122411</v>
      </c>
      <c r="AC91" s="103">
        <v>122411</v>
      </c>
      <c r="AD91" s="103">
        <v>122411</v>
      </c>
      <c r="AE91" s="103">
        <v>122411</v>
      </c>
      <c r="AF91" s="103">
        <v>122411</v>
      </c>
      <c r="AG91" s="103">
        <v>122411</v>
      </c>
      <c r="AH91" s="103">
        <v>122411</v>
      </c>
      <c r="AI91" s="103">
        <v>122411</v>
      </c>
      <c r="AJ91" s="103">
        <v>122411</v>
      </c>
      <c r="AK91" s="103">
        <v>122411</v>
      </c>
      <c r="AL91" s="103">
        <v>122411</v>
      </c>
      <c r="AM91" s="103">
        <v>122411</v>
      </c>
      <c r="AN91" s="103">
        <v>122411</v>
      </c>
      <c r="AO91" s="103">
        <v>122411</v>
      </c>
      <c r="AP91" s="103">
        <v>122411</v>
      </c>
      <c r="AQ91" s="103">
        <v>122411</v>
      </c>
      <c r="AR91" s="103">
        <v>122411</v>
      </c>
      <c r="AS91" s="103">
        <v>122411</v>
      </c>
      <c r="AT91" s="103">
        <v>122411</v>
      </c>
      <c r="AU91" s="103">
        <v>122411</v>
      </c>
      <c r="AV91" s="103">
        <v>122411</v>
      </c>
      <c r="AW91" s="103">
        <v>122411</v>
      </c>
      <c r="AX91" s="103">
        <v>122411</v>
      </c>
      <c r="AY91" s="103">
        <v>122411</v>
      </c>
      <c r="AZ91" s="103">
        <v>122411</v>
      </c>
      <c r="BA91" s="103">
        <v>122411</v>
      </c>
      <c r="BB91" s="103">
        <v>122411</v>
      </c>
      <c r="BC91" s="103">
        <v>122411</v>
      </c>
      <c r="BD91" s="103">
        <v>122411</v>
      </c>
      <c r="BE91" s="103">
        <v>122411</v>
      </c>
      <c r="BF91" s="103">
        <v>122411</v>
      </c>
      <c r="BG91" s="103">
        <v>122411</v>
      </c>
      <c r="BH91" s="103">
        <v>122411</v>
      </c>
      <c r="BI91" s="103">
        <v>122411</v>
      </c>
      <c r="BJ91" s="103">
        <v>122411</v>
      </c>
      <c r="BK91" s="103">
        <v>122411</v>
      </c>
      <c r="BL91" s="103">
        <v>122411</v>
      </c>
    </row>
    <row r="92" spans="1:38" ht="12.75">
      <c r="A92" s="70"/>
      <c r="C92" s="70"/>
      <c r="D92" s="101"/>
      <c r="E92" s="20"/>
      <c r="F92" s="20"/>
      <c r="G92" s="20"/>
      <c r="H92" s="20"/>
      <c r="I92" s="20"/>
      <c r="J92" s="20"/>
      <c r="K92" s="20"/>
      <c r="L92" s="20"/>
      <c r="M92" s="20"/>
      <c r="N92" s="20"/>
      <c r="O92" s="20"/>
      <c r="P92" s="20"/>
      <c r="Q92" s="20"/>
      <c r="R92" s="20"/>
      <c r="S92" s="20"/>
      <c r="T92" s="20"/>
      <c r="U92" s="20"/>
      <c r="V92" s="70"/>
      <c r="W92" s="70"/>
      <c r="Y92" s="6"/>
      <c r="AA92" s="20"/>
      <c r="AB92" s="20"/>
      <c r="AC92" s="20"/>
      <c r="AD92" s="20"/>
      <c r="AE92" s="20"/>
      <c r="AF92" s="20"/>
      <c r="AG92" s="20"/>
      <c r="AH92" s="20"/>
      <c r="AI92" s="20"/>
      <c r="AJ92" s="20"/>
      <c r="AK92" s="20"/>
      <c r="AL92" s="20"/>
    </row>
    <row r="93" spans="1:38" ht="12.75">
      <c r="A93" s="75" t="s">
        <v>58</v>
      </c>
      <c r="B93" s="76"/>
      <c r="C93" s="64" t="s">
        <v>59</v>
      </c>
      <c r="D93" s="102" t="s">
        <v>60</v>
      </c>
      <c r="E93" s="79"/>
      <c r="F93" s="80"/>
      <c r="G93" s="80"/>
      <c r="H93" s="80"/>
      <c r="I93" s="80"/>
      <c r="J93" s="80"/>
      <c r="K93" s="80"/>
      <c r="L93" s="80"/>
      <c r="M93" s="80"/>
      <c r="N93" s="80"/>
      <c r="O93" s="80"/>
      <c r="P93" s="80"/>
      <c r="Q93" s="80"/>
      <c r="R93" s="80"/>
      <c r="S93" s="80"/>
      <c r="T93" s="80"/>
      <c r="U93" s="81"/>
      <c r="V93" s="76"/>
      <c r="W93" s="76"/>
      <c r="Y93" s="6"/>
      <c r="AA93" s="20"/>
      <c r="AB93" s="20"/>
      <c r="AC93" s="20"/>
      <c r="AD93" s="20"/>
      <c r="AE93" s="20"/>
      <c r="AF93" s="20"/>
      <c r="AG93" s="20"/>
      <c r="AH93" s="20"/>
      <c r="AI93" s="20"/>
      <c r="AJ93" s="20"/>
      <c r="AK93" s="20"/>
      <c r="AL93" s="20"/>
    </row>
    <row r="94" spans="1:38" ht="12.75">
      <c r="A94" s="77"/>
      <c r="B94" s="6" t="s">
        <v>0</v>
      </c>
      <c r="C94" s="32" t="s">
        <v>248</v>
      </c>
      <c r="D94" s="103">
        <f aca="true" t="shared" si="48" ref="D94:D99">(D51+D59+D78)</f>
        <v>209918.10906462104</v>
      </c>
      <c r="E94" s="140">
        <f>(E51+E59+E78)</f>
        <v>210485.8583969544</v>
      </c>
      <c r="F94" s="143">
        <f aca="true" t="shared" si="49" ref="F94:T94">(F51+F59+F78)</f>
        <v>328212.9592111331</v>
      </c>
      <c r="G94" s="140">
        <f t="shared" si="49"/>
        <v>269397.31825160055</v>
      </c>
      <c r="H94" s="143">
        <f t="shared" si="49"/>
        <v>283997.0535613463</v>
      </c>
      <c r="I94" s="140">
        <f t="shared" si="49"/>
        <v>294119.58136579563</v>
      </c>
      <c r="J94" s="143">
        <f t="shared" si="49"/>
        <v>281824.74431877927</v>
      </c>
      <c r="K94" s="140">
        <f t="shared" si="49"/>
        <v>218299.29046943583</v>
      </c>
      <c r="L94" s="143">
        <f t="shared" si="49"/>
        <v>243811.19242797792</v>
      </c>
      <c r="M94" s="140">
        <f t="shared" si="49"/>
        <v>237180.39693651185</v>
      </c>
      <c r="N94" s="143">
        <f t="shared" si="49"/>
        <v>130083.42521307584</v>
      </c>
      <c r="O94" s="140">
        <f t="shared" si="49"/>
        <v>99485.72025811563</v>
      </c>
      <c r="P94" s="143">
        <f t="shared" si="49"/>
        <v>84972.65309632069</v>
      </c>
      <c r="Q94" s="71">
        <f t="shared" si="49"/>
        <v>34557.59531850377</v>
      </c>
      <c r="R94" s="71">
        <f t="shared" si="49"/>
        <v>50782.38807879451</v>
      </c>
      <c r="S94" s="63">
        <f t="shared" si="49"/>
        <v>32612.35579291246</v>
      </c>
      <c r="T94" s="140">
        <f t="shared" si="49"/>
        <v>38249.32808211943</v>
      </c>
      <c r="U94" s="71">
        <f aca="true" t="shared" si="50" ref="U94:V99">(U51+U59+U78)</f>
        <v>81232.85990781785</v>
      </c>
      <c r="V94" s="140">
        <f t="shared" si="50"/>
        <v>39584.05308606147</v>
      </c>
      <c r="W94" s="71">
        <f aca="true" t="shared" si="51" ref="W94:W99">(W51+W59+W78)</f>
        <v>38661.67493277718</v>
      </c>
      <c r="Y94" s="21"/>
      <c r="AA94" s="20"/>
      <c r="AB94" s="20"/>
      <c r="AC94" s="20"/>
      <c r="AD94" s="20"/>
      <c r="AE94" s="20"/>
      <c r="AF94" s="20"/>
      <c r="AG94" s="20"/>
      <c r="AH94" s="20"/>
      <c r="AI94" s="20"/>
      <c r="AJ94" s="20"/>
      <c r="AK94" s="20"/>
      <c r="AL94" s="20"/>
    </row>
    <row r="95" spans="1:38" ht="12.75">
      <c r="A95" s="78"/>
      <c r="B95" s="6" t="s">
        <v>1</v>
      </c>
      <c r="C95" s="125" t="s">
        <v>76</v>
      </c>
      <c r="D95" s="103">
        <f>(D52+D60+D79)</f>
        <v>36548.57229589491</v>
      </c>
      <c r="E95" s="141">
        <f aca="true" t="shared" si="52" ref="E95:T95">(E52+E60+E79)</f>
        <v>36548.57229589491</v>
      </c>
      <c r="F95" s="143">
        <f t="shared" si="52"/>
        <v>36548.57229589491</v>
      </c>
      <c r="G95" s="141">
        <f t="shared" si="52"/>
        <v>33920.59723497635</v>
      </c>
      <c r="H95" s="143">
        <f t="shared" si="52"/>
        <v>39143.95214834871</v>
      </c>
      <c r="I95" s="141">
        <f t="shared" si="52"/>
        <v>39792.42057282201</v>
      </c>
      <c r="J95" s="143">
        <f t="shared" si="52"/>
        <v>45353.45611705333</v>
      </c>
      <c r="K95" s="141">
        <f t="shared" si="52"/>
        <v>63651.64770110667</v>
      </c>
      <c r="L95" s="143">
        <f t="shared" si="52"/>
        <v>60413.86451789333</v>
      </c>
      <c r="M95" s="141">
        <f t="shared" si="52"/>
        <v>44071.04721226302</v>
      </c>
      <c r="N95" s="143">
        <f t="shared" si="52"/>
        <v>51632.10234635332</v>
      </c>
      <c r="O95" s="141">
        <f t="shared" si="52"/>
        <v>49290.907639306664</v>
      </c>
      <c r="P95" s="143">
        <f t="shared" si="52"/>
        <v>49770.31001975999</v>
      </c>
      <c r="Q95" s="72">
        <f t="shared" si="52"/>
        <v>49581.014023786665</v>
      </c>
      <c r="R95" s="72">
        <f t="shared" si="52"/>
        <v>51200.77467046667</v>
      </c>
      <c r="S95" s="63">
        <f t="shared" si="52"/>
        <v>48453.770588666666</v>
      </c>
      <c r="T95" s="141">
        <f t="shared" si="52"/>
        <v>49235.920154666666</v>
      </c>
      <c r="U95" s="72">
        <f t="shared" si="50"/>
        <v>46071.76963766666</v>
      </c>
      <c r="V95" s="141">
        <f t="shared" si="50"/>
        <v>46936.874460666666</v>
      </c>
      <c r="W95" s="72">
        <f t="shared" si="51"/>
        <v>46936.874460666666</v>
      </c>
      <c r="Y95" s="21"/>
      <c r="AA95" s="20"/>
      <c r="AB95" s="20"/>
      <c r="AC95" s="20"/>
      <c r="AD95" s="20"/>
      <c r="AE95" s="20"/>
      <c r="AF95" s="20"/>
      <c r="AG95" s="20"/>
      <c r="AH95" s="20"/>
      <c r="AI95" s="20"/>
      <c r="AJ95" s="20"/>
      <c r="AK95" s="20"/>
      <c r="AL95" s="20"/>
    </row>
    <row r="96" spans="1:38" ht="12.75">
      <c r="A96" s="78"/>
      <c r="B96" s="6" t="s">
        <v>2</v>
      </c>
      <c r="C96" s="33" t="s">
        <v>35</v>
      </c>
      <c r="D96" s="103">
        <f t="shared" si="48"/>
        <v>44941.123456729096</v>
      </c>
      <c r="E96" s="141">
        <f aca="true" t="shared" si="53" ref="E96:T96">(E53+E61+E80)</f>
        <v>43254.31721888776</v>
      </c>
      <c r="F96" s="143">
        <f t="shared" si="53"/>
        <v>41700.98372368147</v>
      </c>
      <c r="G96" s="141">
        <f t="shared" si="53"/>
        <v>41163.44143812169</v>
      </c>
      <c r="H96" s="143">
        <f t="shared" si="53"/>
        <v>40115.14669954374</v>
      </c>
      <c r="I96" s="141">
        <f t="shared" si="53"/>
        <v>39731.755117452514</v>
      </c>
      <c r="J96" s="143">
        <f t="shared" si="53"/>
        <v>39347.62536275298</v>
      </c>
      <c r="K96" s="141">
        <f t="shared" si="53"/>
        <v>38856.716347668254</v>
      </c>
      <c r="L96" s="143">
        <f t="shared" si="53"/>
        <v>41447.04793734234</v>
      </c>
      <c r="M96" s="141">
        <f t="shared" si="53"/>
        <v>42890.3579348942</v>
      </c>
      <c r="N96" s="143">
        <f t="shared" si="53"/>
        <v>49075.386779108376</v>
      </c>
      <c r="O96" s="141">
        <f t="shared" si="53"/>
        <v>49826.61727871667</v>
      </c>
      <c r="P96" s="143">
        <f t="shared" si="53"/>
        <v>49123.342302504505</v>
      </c>
      <c r="Q96" s="72">
        <f t="shared" si="53"/>
        <v>49775.37621890463</v>
      </c>
      <c r="R96" s="72">
        <f t="shared" si="53"/>
        <v>48871.403316965356</v>
      </c>
      <c r="S96" s="63">
        <f t="shared" si="53"/>
        <v>49065.493093585144</v>
      </c>
      <c r="T96" s="141">
        <f t="shared" si="53"/>
        <v>46942.94121412652</v>
      </c>
      <c r="U96" s="72">
        <f t="shared" si="50"/>
        <v>49641.635559597766</v>
      </c>
      <c r="V96" s="141">
        <f t="shared" si="50"/>
        <v>51091.30122694597</v>
      </c>
      <c r="W96" s="72">
        <f t="shared" si="51"/>
        <v>42797.827159229666</v>
      </c>
      <c r="Y96" s="21"/>
      <c r="AA96" s="20"/>
      <c r="AB96" s="20"/>
      <c r="AC96" s="20"/>
      <c r="AD96" s="20"/>
      <c r="AE96" s="20"/>
      <c r="AF96" s="20"/>
      <c r="AG96" s="20"/>
      <c r="AH96" s="20"/>
      <c r="AI96" s="20"/>
      <c r="AJ96" s="20"/>
      <c r="AK96" s="20"/>
      <c r="AL96" s="20"/>
    </row>
    <row r="97" spans="1:38" ht="12.75">
      <c r="A97" s="78"/>
      <c r="B97" s="6" t="s">
        <v>3</v>
      </c>
      <c r="C97" s="33" t="s">
        <v>36</v>
      </c>
      <c r="D97" s="103">
        <f t="shared" si="48"/>
        <v>122564.88142085136</v>
      </c>
      <c r="E97" s="141">
        <f aca="true" t="shared" si="54" ref="E97:T97">(E54+E62+E81)</f>
        <v>122566.79873962305</v>
      </c>
      <c r="F97" s="143">
        <f t="shared" si="54"/>
        <v>124654.96428238659</v>
      </c>
      <c r="G97" s="141">
        <f t="shared" si="54"/>
        <v>128413.74974266406</v>
      </c>
      <c r="H97" s="143">
        <f t="shared" si="54"/>
        <v>133772.9022012137</v>
      </c>
      <c r="I97" s="141">
        <f t="shared" si="54"/>
        <v>133866.44839732331</v>
      </c>
      <c r="J97" s="143">
        <f t="shared" si="54"/>
        <v>130835.91489017574</v>
      </c>
      <c r="K97" s="141">
        <f t="shared" si="54"/>
        <v>126569.91868303345</v>
      </c>
      <c r="L97" s="143">
        <f t="shared" si="54"/>
        <v>130733.84888779822</v>
      </c>
      <c r="M97" s="141">
        <f t="shared" si="54"/>
        <v>118975.65003993757</v>
      </c>
      <c r="N97" s="143">
        <f t="shared" si="54"/>
        <v>129202.31131975671</v>
      </c>
      <c r="O97" s="141">
        <f t="shared" si="54"/>
        <v>129998.40908850872</v>
      </c>
      <c r="P97" s="143">
        <f t="shared" si="54"/>
        <v>128350.7137744734</v>
      </c>
      <c r="Q97" s="72">
        <f t="shared" si="54"/>
        <v>126910.95368827361</v>
      </c>
      <c r="R97" s="72">
        <f t="shared" si="54"/>
        <v>123712.38990902349</v>
      </c>
      <c r="S97" s="63">
        <f t="shared" si="54"/>
        <v>121878.2455901346</v>
      </c>
      <c r="T97" s="141">
        <f t="shared" si="54"/>
        <v>123486.50512604667</v>
      </c>
      <c r="U97" s="72">
        <f t="shared" si="50"/>
        <v>119955.71515467059</v>
      </c>
      <c r="V97" s="141">
        <f t="shared" si="50"/>
        <v>122644.68855795288</v>
      </c>
      <c r="W97" s="72">
        <f t="shared" si="51"/>
        <v>122163.61627276035</v>
      </c>
      <c r="Y97" s="21"/>
      <c r="AA97" s="20"/>
      <c r="AB97" s="20"/>
      <c r="AC97" s="20"/>
      <c r="AD97" s="20"/>
      <c r="AE97" s="20"/>
      <c r="AF97" s="20"/>
      <c r="AG97" s="20"/>
      <c r="AH97" s="20"/>
      <c r="AI97" s="20"/>
      <c r="AJ97" s="20"/>
      <c r="AK97" s="20"/>
      <c r="AL97" s="20"/>
    </row>
    <row r="98" spans="1:38" ht="12.75">
      <c r="A98" s="78"/>
      <c r="B98" s="6" t="s">
        <v>4</v>
      </c>
      <c r="C98" s="33" t="s">
        <v>249</v>
      </c>
      <c r="D98" s="103">
        <f t="shared" si="48"/>
        <v>62234.21174181034</v>
      </c>
      <c r="E98" s="141">
        <f aca="true" t="shared" si="55" ref="E98:T98">(E55+E63+E82)</f>
        <v>62253.83653655582</v>
      </c>
      <c r="F98" s="143">
        <f t="shared" si="55"/>
        <v>54598.39431528815</v>
      </c>
      <c r="G98" s="141">
        <f t="shared" si="55"/>
        <v>59641.127160434124</v>
      </c>
      <c r="H98" s="143">
        <f t="shared" si="55"/>
        <v>63682.72058727963</v>
      </c>
      <c r="I98" s="141">
        <f t="shared" si="55"/>
        <v>62241.33016107404</v>
      </c>
      <c r="J98" s="143">
        <f t="shared" si="55"/>
        <v>69506.7445576922</v>
      </c>
      <c r="K98" s="141">
        <f t="shared" si="55"/>
        <v>76638.27537862684</v>
      </c>
      <c r="L98" s="143">
        <f t="shared" si="55"/>
        <v>95560.40286495519</v>
      </c>
      <c r="M98" s="141">
        <f t="shared" si="55"/>
        <v>61810.97320308477</v>
      </c>
      <c r="N98" s="143">
        <f t="shared" si="55"/>
        <v>62948.05338110737</v>
      </c>
      <c r="O98" s="141">
        <f t="shared" si="55"/>
        <v>132172.4138914963</v>
      </c>
      <c r="P98" s="143">
        <f t="shared" si="55"/>
        <v>114597.76585257697</v>
      </c>
      <c r="Q98" s="72">
        <f t="shared" si="55"/>
        <v>64134.83580921745</v>
      </c>
      <c r="R98" s="72">
        <f t="shared" si="55"/>
        <v>79529.13339613592</v>
      </c>
      <c r="S98" s="63">
        <f t="shared" si="55"/>
        <v>57860.52427751272</v>
      </c>
      <c r="T98" s="141">
        <f t="shared" si="55"/>
        <v>60578.354730199346</v>
      </c>
      <c r="U98" s="72">
        <f t="shared" si="50"/>
        <v>98205.56950376152</v>
      </c>
      <c r="V98" s="141">
        <f t="shared" si="50"/>
        <v>53619.102319149</v>
      </c>
      <c r="W98" s="72">
        <f t="shared" si="51"/>
        <v>53637.440870135666</v>
      </c>
      <c r="Y98" s="21"/>
      <c r="AA98" s="20"/>
      <c r="AB98" s="20"/>
      <c r="AC98" s="20"/>
      <c r="AD98" s="20"/>
      <c r="AE98" s="20"/>
      <c r="AF98" s="20"/>
      <c r="AG98" s="20"/>
      <c r="AH98" s="20"/>
      <c r="AI98" s="20"/>
      <c r="AJ98" s="20"/>
      <c r="AK98" s="20"/>
      <c r="AL98" s="20"/>
    </row>
    <row r="99" spans="1:38" ht="12.75">
      <c r="A99" s="78"/>
      <c r="B99" s="6" t="s">
        <v>5</v>
      </c>
      <c r="C99" s="33" t="s">
        <v>38</v>
      </c>
      <c r="D99" s="103">
        <f t="shared" si="48"/>
        <v>113144.36615108461</v>
      </c>
      <c r="E99" s="141">
        <f aca="true" t="shared" si="56" ref="E99:T99">(E56+E64+E83)</f>
        <v>113144.36615108461</v>
      </c>
      <c r="F99" s="143">
        <f t="shared" si="56"/>
        <v>98313.60001881457</v>
      </c>
      <c r="G99" s="141">
        <f t="shared" si="56"/>
        <v>104497.68560899093</v>
      </c>
      <c r="H99" s="143">
        <f t="shared" si="56"/>
        <v>100828.16614969222</v>
      </c>
      <c r="I99" s="141">
        <f t="shared" si="56"/>
        <v>101003.14834950346</v>
      </c>
      <c r="J99" s="143">
        <f t="shared" si="56"/>
        <v>106583.99567647529</v>
      </c>
      <c r="K99" s="141">
        <f t="shared" si="56"/>
        <v>115203.69573069565</v>
      </c>
      <c r="L99" s="143">
        <f t="shared" si="56"/>
        <v>135918.16654875127</v>
      </c>
      <c r="M99" s="141">
        <f t="shared" si="56"/>
        <v>104458.88161284302</v>
      </c>
      <c r="N99" s="143">
        <f t="shared" si="56"/>
        <v>104743.5016778987</v>
      </c>
      <c r="O99" s="141">
        <f t="shared" si="56"/>
        <v>107828.74211981668</v>
      </c>
      <c r="P99" s="143">
        <f t="shared" si="56"/>
        <v>103754.84339376449</v>
      </c>
      <c r="Q99" s="72">
        <f t="shared" si="56"/>
        <v>99466.9245645506</v>
      </c>
      <c r="R99" s="72">
        <f t="shared" si="56"/>
        <v>100421.87009894395</v>
      </c>
      <c r="S99" s="63">
        <f t="shared" si="56"/>
        <v>99014.80663651468</v>
      </c>
      <c r="T99" s="141">
        <f t="shared" si="56"/>
        <v>99038.32394002787</v>
      </c>
      <c r="U99" s="72">
        <f t="shared" si="50"/>
        <v>102401.46637839504</v>
      </c>
      <c r="V99" s="141">
        <f t="shared" si="50"/>
        <v>99209.55907490112</v>
      </c>
      <c r="W99" s="72">
        <f t="shared" si="51"/>
        <v>99209.55907490112</v>
      </c>
      <c r="Y99" s="21"/>
      <c r="AA99" s="20"/>
      <c r="AB99" s="20"/>
      <c r="AC99" s="20"/>
      <c r="AD99" s="20"/>
      <c r="AE99" s="20"/>
      <c r="AF99" s="20"/>
      <c r="AG99" s="20"/>
      <c r="AH99" s="20"/>
      <c r="AI99" s="20"/>
      <c r="AJ99" s="20"/>
      <c r="AK99" s="20"/>
      <c r="AL99" s="20"/>
    </row>
    <row r="100" spans="1:38" ht="12.75">
      <c r="A100" s="78"/>
      <c r="B100" s="6" t="s">
        <v>6</v>
      </c>
      <c r="C100" s="33" t="s">
        <v>62</v>
      </c>
      <c r="D100" s="89">
        <f>(D57)</f>
        <v>272.11932</v>
      </c>
      <c r="E100" s="141">
        <f aca="true" t="shared" si="57" ref="E100:T100">(E57)</f>
        <v>-322.36027999999993</v>
      </c>
      <c r="F100" s="143">
        <f t="shared" si="57"/>
        <v>-772.7376799999998</v>
      </c>
      <c r="G100" s="141">
        <f t="shared" si="57"/>
        <v>-770.8868199999998</v>
      </c>
      <c r="H100" s="143">
        <f t="shared" si="57"/>
        <v>-1838.7074200000004</v>
      </c>
      <c r="I100" s="141">
        <f t="shared" si="57"/>
        <v>-3909.3698599999993</v>
      </c>
      <c r="J100" s="143">
        <f t="shared" si="57"/>
        <v>-2839.6593866666667</v>
      </c>
      <c r="K100" s="141">
        <f t="shared" si="57"/>
        <v>-814.0369599999998</v>
      </c>
      <c r="L100" s="143">
        <f t="shared" si="57"/>
        <v>-553.4874400000001</v>
      </c>
      <c r="M100" s="141">
        <f t="shared" si="57"/>
        <v>-1094.59834</v>
      </c>
      <c r="N100" s="143">
        <f t="shared" si="57"/>
        <v>-2832.86278</v>
      </c>
      <c r="O100" s="141">
        <f t="shared" si="57"/>
        <v>-4571.21522</v>
      </c>
      <c r="P100" s="143">
        <f t="shared" si="57"/>
        <v>-574.35708</v>
      </c>
      <c r="Q100" s="72">
        <f t="shared" si="57"/>
        <v>-2274.1664</v>
      </c>
      <c r="R100" s="72">
        <f t="shared" si="57"/>
        <v>-564.6893999999999</v>
      </c>
      <c r="S100" s="63">
        <f t="shared" si="57"/>
        <v>-302.30067999999994</v>
      </c>
      <c r="T100" s="141">
        <f t="shared" si="57"/>
        <v>191.52606</v>
      </c>
      <c r="U100" s="72">
        <f>(U57)</f>
        <v>191.52606</v>
      </c>
      <c r="V100" s="141">
        <f>(V57)</f>
        <v>191.52606</v>
      </c>
      <c r="W100" s="72">
        <f>(W57)</f>
        <v>191.52606</v>
      </c>
      <c r="Y100" s="21"/>
      <c r="AA100" s="20"/>
      <c r="AB100" s="20"/>
      <c r="AC100" s="20"/>
      <c r="AD100" s="20"/>
      <c r="AE100" s="20"/>
      <c r="AF100" s="20"/>
      <c r="AG100" s="20"/>
      <c r="AH100" s="20"/>
      <c r="AI100" s="20"/>
      <c r="AJ100" s="20"/>
      <c r="AK100" s="20"/>
      <c r="AL100" s="20"/>
    </row>
    <row r="101" spans="1:38" ht="12.75">
      <c r="A101" s="78"/>
      <c r="B101" s="6" t="s">
        <v>56</v>
      </c>
      <c r="C101" s="33" t="s">
        <v>52</v>
      </c>
      <c r="D101" s="103">
        <f>(D65+D66+D67+D68+D69+D70+D71+D72+D73+D74+D75+D84)</f>
        <v>21354.564632438065</v>
      </c>
      <c r="E101" s="141">
        <f aca="true" t="shared" si="58" ref="E101:T101">(E65+E66+E67+E68+E69+E70+E71+E72+E73+E74+E75+E84)</f>
        <v>21344.965917530542</v>
      </c>
      <c r="F101" s="143">
        <f t="shared" si="58"/>
        <v>21467.51470762153</v>
      </c>
      <c r="G101" s="141">
        <f t="shared" si="58"/>
        <v>21466.41180683756</v>
      </c>
      <c r="H101" s="143">
        <f t="shared" si="58"/>
        <v>21428.492935142316</v>
      </c>
      <c r="I101" s="141">
        <f t="shared" si="58"/>
        <v>21436.909656217038</v>
      </c>
      <c r="J101" s="143">
        <f t="shared" si="58"/>
        <v>21473.16514794275</v>
      </c>
      <c r="K101" s="141">
        <f t="shared" si="58"/>
        <v>21499.80158276928</v>
      </c>
      <c r="L101" s="143">
        <f t="shared" si="58"/>
        <v>21434.679261170644</v>
      </c>
      <c r="M101" s="141">
        <f t="shared" si="58"/>
        <v>21421.132256880075</v>
      </c>
      <c r="N101" s="143">
        <f t="shared" si="58"/>
        <v>21880.93711187635</v>
      </c>
      <c r="O101" s="141">
        <f t="shared" si="58"/>
        <v>21396.4996153396</v>
      </c>
      <c r="P101" s="143">
        <f t="shared" si="58"/>
        <v>18799.390157395945</v>
      </c>
      <c r="Q101" s="72">
        <f t="shared" si="58"/>
        <v>16911.733915634093</v>
      </c>
      <c r="R101" s="72">
        <f t="shared" si="58"/>
        <v>16216.753398768153</v>
      </c>
      <c r="S101" s="63">
        <f t="shared" si="58"/>
        <v>15637.88084740768</v>
      </c>
      <c r="T101" s="141">
        <f t="shared" si="58"/>
        <v>16933.06832106903</v>
      </c>
      <c r="U101" s="72">
        <f>(U65+U66+U67+U68+U69+U70+U71+U72+U73+U74+U75+U84)</f>
        <v>17530.434526170247</v>
      </c>
      <c r="V101" s="141">
        <f>(V65+V66+V67+V68+V69+V70+V71+V72+V73+V74+V75+V84)</f>
        <v>15205.451253042946</v>
      </c>
      <c r="W101" s="72">
        <f>(W65+W66+W67+W68+W69+W70+W71+W72+W73+W74+W75+W84)</f>
        <v>15060.847766152361</v>
      </c>
      <c r="Y101" s="21"/>
      <c r="AA101" s="20"/>
      <c r="AB101" s="20"/>
      <c r="AC101" s="20"/>
      <c r="AD101" s="20"/>
      <c r="AE101" s="20"/>
      <c r="AF101" s="20"/>
      <c r="AG101" s="20"/>
      <c r="AH101" s="20"/>
      <c r="AI101" s="20"/>
      <c r="AJ101" s="20"/>
      <c r="AK101" s="20"/>
      <c r="AL101" s="20"/>
    </row>
    <row r="102" spans="1:38" ht="12.75">
      <c r="A102" s="78"/>
      <c r="B102" s="6" t="s">
        <v>18</v>
      </c>
      <c r="C102" s="33" t="s">
        <v>51</v>
      </c>
      <c r="D102" s="89">
        <f>(D76+D85)</f>
        <v>1027.1866085136494</v>
      </c>
      <c r="E102" s="141">
        <f aca="true" t="shared" si="59" ref="E102:T102">(E76+E85)</f>
        <v>961.1167789312781</v>
      </c>
      <c r="F102" s="143">
        <f t="shared" si="59"/>
        <v>1068.9251615774688</v>
      </c>
      <c r="G102" s="141">
        <f t="shared" si="59"/>
        <v>1060.246290797173</v>
      </c>
      <c r="H102" s="143">
        <f t="shared" si="59"/>
        <v>1106.9575733164468</v>
      </c>
      <c r="I102" s="141">
        <f t="shared" si="59"/>
        <v>1057.0878075611104</v>
      </c>
      <c r="J102" s="143">
        <f t="shared" si="59"/>
        <v>1086.605424426718</v>
      </c>
      <c r="K102" s="141">
        <f t="shared" si="59"/>
        <v>1121.057210936748</v>
      </c>
      <c r="L102" s="143">
        <f t="shared" si="59"/>
        <v>1153.4551816044168</v>
      </c>
      <c r="M102" s="141">
        <f t="shared" si="59"/>
        <v>1120.6443517649288</v>
      </c>
      <c r="N102" s="143">
        <f t="shared" si="59"/>
        <v>1150.5484148204737</v>
      </c>
      <c r="O102" s="141">
        <f t="shared" si="59"/>
        <v>1152.8088609200943</v>
      </c>
      <c r="P102" s="143">
        <f t="shared" si="59"/>
        <v>1158.3459634347098</v>
      </c>
      <c r="Q102" s="72">
        <f t="shared" si="59"/>
        <v>1160.7428778684146</v>
      </c>
      <c r="R102" s="72">
        <f t="shared" si="59"/>
        <v>1163.5032681595524</v>
      </c>
      <c r="S102" s="63">
        <f t="shared" si="59"/>
        <v>1172.3998704523372</v>
      </c>
      <c r="T102" s="141">
        <f t="shared" si="59"/>
        <v>1182.328217299665</v>
      </c>
      <c r="U102" s="72">
        <f>(U76+U85)</f>
        <v>1198.6154137570234</v>
      </c>
      <c r="V102" s="141">
        <f>(V76+V85)</f>
        <v>1207.8695506262297</v>
      </c>
      <c r="W102" s="72">
        <f>(W76+W85)</f>
        <v>1211.8305363153804</v>
      </c>
      <c r="Y102" s="21"/>
      <c r="AA102" s="20"/>
      <c r="AB102" s="20"/>
      <c r="AC102" s="20"/>
      <c r="AD102" s="20"/>
      <c r="AE102" s="20"/>
      <c r="AF102" s="20"/>
      <c r="AG102" s="20"/>
      <c r="AH102" s="20"/>
      <c r="AI102" s="20"/>
      <c r="AJ102" s="20"/>
      <c r="AK102" s="20"/>
      <c r="AL102" s="20"/>
    </row>
    <row r="103" spans="1:38" ht="12.75">
      <c r="A103" s="78"/>
      <c r="B103" s="65" t="s">
        <v>57</v>
      </c>
      <c r="C103" s="66" t="s">
        <v>63</v>
      </c>
      <c r="D103" s="104">
        <f>(D87+D88+D89)</f>
        <v>50.634898096015434</v>
      </c>
      <c r="E103" s="142">
        <f aca="true" t="shared" si="60" ref="E103:T103">(E87+E88+E89)</f>
        <v>50.67528081383916</v>
      </c>
      <c r="F103" s="144">
        <f t="shared" si="60"/>
        <v>52.3676274035069</v>
      </c>
      <c r="G103" s="142">
        <f t="shared" si="60"/>
        <v>946.2480923352728</v>
      </c>
      <c r="H103" s="144">
        <f t="shared" si="60"/>
        <v>2029.6475986828673</v>
      </c>
      <c r="I103" s="142">
        <f t="shared" si="60"/>
        <v>3473.219515383998</v>
      </c>
      <c r="J103" s="144">
        <f t="shared" si="60"/>
        <v>5097.660887529472</v>
      </c>
      <c r="K103" s="142">
        <f t="shared" si="60"/>
        <v>6886.53666025488</v>
      </c>
      <c r="L103" s="144">
        <f t="shared" si="60"/>
        <v>9048.760561943218</v>
      </c>
      <c r="M103" s="142">
        <f t="shared" si="60"/>
        <v>10282.351508158801</v>
      </c>
      <c r="N103" s="144">
        <f t="shared" si="60"/>
        <v>12125.23976898819</v>
      </c>
      <c r="O103" s="142">
        <f t="shared" si="60"/>
        <v>13806.917413059102</v>
      </c>
      <c r="P103" s="144">
        <f t="shared" si="60"/>
        <v>15798.107959137964</v>
      </c>
      <c r="Q103" s="73">
        <f t="shared" si="60"/>
        <v>17035.703603205704</v>
      </c>
      <c r="R103" s="73">
        <f t="shared" si="60"/>
        <v>17981.197260030327</v>
      </c>
      <c r="S103" s="67">
        <f t="shared" si="60"/>
        <v>18864.70518903494</v>
      </c>
      <c r="T103" s="142">
        <f t="shared" si="60"/>
        <v>18918.311642447785</v>
      </c>
      <c r="U103" s="73">
        <f>(U87+U88+U89)</f>
        <v>19158.15598396534</v>
      </c>
      <c r="V103" s="142">
        <f>(V87+V88+V89)</f>
        <v>19249.7880408199</v>
      </c>
      <c r="W103" s="73">
        <f>(W87+W88+W89)</f>
        <v>18879.796963247147</v>
      </c>
      <c r="Y103" s="21"/>
      <c r="AA103" s="20"/>
      <c r="AB103" s="20"/>
      <c r="AC103" s="20"/>
      <c r="AD103" s="20"/>
      <c r="AE103" s="20"/>
      <c r="AF103" s="20"/>
      <c r="AG103" s="20"/>
      <c r="AH103" s="20"/>
      <c r="AI103" s="20"/>
      <c r="AJ103" s="20"/>
      <c r="AK103" s="20"/>
      <c r="AL103" s="20"/>
    </row>
    <row r="104" spans="3:38" ht="12.75">
      <c r="C104" s="68" t="s">
        <v>20</v>
      </c>
      <c r="D104" s="105">
        <f>(D94+D95+D96+D97+D98+D99+D100+D101+D102+D103)</f>
        <v>612055.7695900393</v>
      </c>
      <c r="E104" s="74">
        <f aca="true" t="shared" si="61" ref="E104:T104">(E94+E95+E96+E97+E98+E99+E100+E101+E102+E103)</f>
        <v>610288.1470362762</v>
      </c>
      <c r="F104" s="69">
        <f t="shared" si="61"/>
        <v>705845.5436638012</v>
      </c>
      <c r="G104" s="74">
        <f t="shared" si="61"/>
        <v>659735.9388067577</v>
      </c>
      <c r="H104" s="69">
        <f t="shared" si="61"/>
        <v>684266.3320345661</v>
      </c>
      <c r="I104" s="74">
        <f t="shared" si="61"/>
        <v>692812.5310831332</v>
      </c>
      <c r="J104" s="69">
        <f t="shared" si="61"/>
        <v>698270.252996161</v>
      </c>
      <c r="K104" s="74">
        <f t="shared" si="61"/>
        <v>667912.9028045275</v>
      </c>
      <c r="L104" s="69">
        <f t="shared" si="61"/>
        <v>738967.9307494365</v>
      </c>
      <c r="M104" s="69">
        <f t="shared" si="61"/>
        <v>641116.8367163383</v>
      </c>
      <c r="N104" s="69">
        <f t="shared" si="61"/>
        <v>560008.6432329854</v>
      </c>
      <c r="O104" s="74">
        <f t="shared" si="61"/>
        <v>600387.8209452796</v>
      </c>
      <c r="P104" s="69">
        <f t="shared" si="61"/>
        <v>565751.1154393686</v>
      </c>
      <c r="Q104" s="74">
        <f t="shared" si="61"/>
        <v>457260.713619945</v>
      </c>
      <c r="R104" s="69">
        <f t="shared" si="61"/>
        <v>489314.723997288</v>
      </c>
      <c r="S104" s="69">
        <f t="shared" si="61"/>
        <v>444257.88120622124</v>
      </c>
      <c r="T104" s="74">
        <f t="shared" si="61"/>
        <v>454756.6074880029</v>
      </c>
      <c r="U104" s="74">
        <f>(U94+U95+U96+U97+U98+U99+U100+U101+U102+U103)</f>
        <v>535587.748125802</v>
      </c>
      <c r="V104" s="74">
        <f>(V94+V95+V96+V97+V98+V99+V100+V101+V102+V103)</f>
        <v>448940.2136301662</v>
      </c>
      <c r="W104" s="74">
        <f>(W94+W95+W96+W97+W98+W99+W100+W101+W102+W103)</f>
        <v>438750.9940961855</v>
      </c>
      <c r="Y104" s="21"/>
      <c r="AA104" s="20"/>
      <c r="AB104" s="20"/>
      <c r="AC104" s="20"/>
      <c r="AD104" s="20"/>
      <c r="AE104" s="20"/>
      <c r="AF104" s="20"/>
      <c r="AG104" s="20"/>
      <c r="AH104" s="20"/>
      <c r="AI104" s="20"/>
      <c r="AJ104" s="20"/>
      <c r="AK104" s="20"/>
      <c r="AL104" s="20"/>
    </row>
    <row r="105" spans="3:38" ht="12.75">
      <c r="C105" s="33" t="s">
        <v>61</v>
      </c>
      <c r="D105" s="106">
        <f>(D94+D95+D97+D98+D99+D100+D101+D102+D103)</f>
        <v>567114.6461333102</v>
      </c>
      <c r="E105" s="82">
        <f aca="true" t="shared" si="62" ref="E105:T105">(E94+E95+E97+E98+E99+E100+E101+E102+E103)</f>
        <v>567033.8298173884</v>
      </c>
      <c r="F105" s="82">
        <f t="shared" si="62"/>
        <v>664144.5599401196</v>
      </c>
      <c r="G105" s="82">
        <f t="shared" si="62"/>
        <v>618572.497368636</v>
      </c>
      <c r="H105" s="82">
        <f t="shared" si="62"/>
        <v>644151.1853350223</v>
      </c>
      <c r="I105" s="82">
        <f t="shared" si="62"/>
        <v>653080.7759656807</v>
      </c>
      <c r="J105" s="82">
        <f t="shared" si="62"/>
        <v>658922.6276334081</v>
      </c>
      <c r="K105" s="82">
        <f t="shared" si="62"/>
        <v>629056.1864568593</v>
      </c>
      <c r="L105" s="82">
        <f t="shared" si="62"/>
        <v>697520.8828120941</v>
      </c>
      <c r="M105" s="82">
        <f t="shared" si="62"/>
        <v>598226.4787814441</v>
      </c>
      <c r="N105" s="82">
        <f t="shared" si="62"/>
        <v>510933.25645387685</v>
      </c>
      <c r="O105" s="82">
        <f t="shared" si="62"/>
        <v>550561.2036665628</v>
      </c>
      <c r="P105" s="82">
        <f t="shared" si="62"/>
        <v>516627.7731368642</v>
      </c>
      <c r="Q105" s="82">
        <f t="shared" si="62"/>
        <v>407485.33740104036</v>
      </c>
      <c r="R105" s="82">
        <f t="shared" si="62"/>
        <v>440443.3206803226</v>
      </c>
      <c r="S105" s="82">
        <f t="shared" si="62"/>
        <v>395192.3881126361</v>
      </c>
      <c r="T105" s="82">
        <f t="shared" si="62"/>
        <v>407813.6662738764</v>
      </c>
      <c r="U105" s="82">
        <f>(U94+U95+U97+U98+U99+U100+U101+U102+U103)</f>
        <v>485946.1125662043</v>
      </c>
      <c r="V105" s="82">
        <f>(V94+V95+V97+V98+V99+V100+V101+V102+V103)</f>
        <v>397848.9124032202</v>
      </c>
      <c r="W105" s="82">
        <f>(W94+W95+W97+W98+W99+W100+W101+W102+W103)</f>
        <v>395953.1669369559</v>
      </c>
      <c r="Y105" s="226"/>
      <c r="AA105" s="87"/>
      <c r="AB105" s="20"/>
      <c r="AC105" s="20"/>
      <c r="AD105" s="20"/>
      <c r="AE105" s="20"/>
      <c r="AF105" s="20"/>
      <c r="AG105" s="20"/>
      <c r="AH105" s="20"/>
      <c r="AI105" s="20"/>
      <c r="AJ105" s="20"/>
      <c r="AK105" s="20"/>
      <c r="AL105" s="20"/>
    </row>
    <row r="106" spans="25:33" ht="12.75">
      <c r="Y106" s="111"/>
      <c r="AA106" s="20"/>
      <c r="AB106" s="20"/>
      <c r="AC106" s="20"/>
      <c r="AD106" s="20"/>
      <c r="AE106" s="20"/>
      <c r="AF106" s="20"/>
      <c r="AG106" s="20"/>
    </row>
    <row r="107" spans="3:33" ht="12.75">
      <c r="C107" s="85" t="s">
        <v>74</v>
      </c>
      <c r="D107" s="107"/>
      <c r="E107" s="86">
        <v>546566.5195449915</v>
      </c>
      <c r="F107" s="86">
        <v>657267.930985738</v>
      </c>
      <c r="G107" s="86">
        <v>592667.6121757355</v>
      </c>
      <c r="H107" s="86">
        <v>634480.5666678394</v>
      </c>
      <c r="I107" s="86">
        <v>638372.9672235833</v>
      </c>
      <c r="J107" s="86">
        <v>645417.8398956882</v>
      </c>
      <c r="K107" s="86">
        <v>641462.8612318618</v>
      </c>
      <c r="L107" s="86">
        <v>696446.463258155</v>
      </c>
      <c r="M107" s="86">
        <v>602596.8217150436</v>
      </c>
      <c r="N107" s="86">
        <v>518775.45557214925</v>
      </c>
      <c r="O107" s="86">
        <v>554018.7229851952</v>
      </c>
      <c r="P107" s="86">
        <v>521994.0581071411</v>
      </c>
      <c r="Q107" s="86">
        <v>421329.9065821856</v>
      </c>
      <c r="R107" s="86">
        <v>448064.525545461</v>
      </c>
      <c r="S107" s="86">
        <v>400381.8600606824</v>
      </c>
      <c r="T107" s="86">
        <v>412897.9521855623</v>
      </c>
      <c r="U107" s="86">
        <v>483780.4648472361</v>
      </c>
      <c r="V107" s="63"/>
      <c r="W107" s="63"/>
      <c r="Y107" s="143"/>
      <c r="AA107" s="88"/>
      <c r="AB107" s="20"/>
      <c r="AC107" s="20"/>
      <c r="AD107" s="20"/>
      <c r="AE107" s="20"/>
      <c r="AF107" s="20"/>
      <c r="AG107" s="20"/>
    </row>
    <row r="108" spans="3:33" ht="12.75">
      <c r="C108" t="s">
        <v>73</v>
      </c>
      <c r="E108" s="63">
        <f>(E105-E107)</f>
        <v>20467.31027239689</v>
      </c>
      <c r="F108" s="63">
        <f aca="true" t="shared" si="63" ref="F108:T108">(F105-F107)</f>
        <v>6876.628954381566</v>
      </c>
      <c r="G108" s="63">
        <f t="shared" si="63"/>
        <v>25904.88519290043</v>
      </c>
      <c r="H108" s="63">
        <f t="shared" si="63"/>
        <v>9670.618667182862</v>
      </c>
      <c r="I108" s="63">
        <f t="shared" si="63"/>
        <v>14707.808742097463</v>
      </c>
      <c r="J108" s="63">
        <f t="shared" si="63"/>
        <v>13504.787737719831</v>
      </c>
      <c r="K108" s="63">
        <f t="shared" si="63"/>
        <v>-12406.674775002408</v>
      </c>
      <c r="L108" s="63">
        <f t="shared" si="63"/>
        <v>1074.4195539390203</v>
      </c>
      <c r="M108" s="63">
        <f t="shared" si="63"/>
        <v>-4370.342933599488</v>
      </c>
      <c r="N108" s="63">
        <f t="shared" si="63"/>
        <v>-7842.199118272401</v>
      </c>
      <c r="O108" s="63">
        <f t="shared" si="63"/>
        <v>-3457.5193186324323</v>
      </c>
      <c r="P108" s="63">
        <f t="shared" si="63"/>
        <v>-5366.284970276931</v>
      </c>
      <c r="Q108" s="63">
        <f t="shared" si="63"/>
        <v>-13844.569181145227</v>
      </c>
      <c r="R108" s="63">
        <f t="shared" si="63"/>
        <v>-7621.204865138396</v>
      </c>
      <c r="S108" s="63">
        <f t="shared" si="63"/>
        <v>-5189.471948046295</v>
      </c>
      <c r="T108" s="63">
        <f t="shared" si="63"/>
        <v>-5084.285911685904</v>
      </c>
      <c r="U108" s="63">
        <f>(U105-U107)</f>
        <v>2165.647718968161</v>
      </c>
      <c r="AA108" s="20"/>
      <c r="AB108" s="20"/>
      <c r="AC108" s="20"/>
      <c r="AD108" s="20"/>
      <c r="AE108" s="20"/>
      <c r="AF108" s="20"/>
      <c r="AG108" s="20"/>
    </row>
    <row r="109" spans="27:33" ht="12.75">
      <c r="AA109" s="20"/>
      <c r="AB109" s="20"/>
      <c r="AC109" s="20"/>
      <c r="AD109" s="20"/>
      <c r="AE109" s="20"/>
      <c r="AF109" s="20"/>
      <c r="AG109" s="20"/>
    </row>
    <row r="110" spans="2:33" ht="12.75">
      <c r="B110" s="675" t="s">
        <v>413</v>
      </c>
      <c r="C110" s="676"/>
      <c r="D110" s="676"/>
      <c r="E110" s="676"/>
      <c r="F110" s="676"/>
      <c r="AA110" s="20"/>
      <c r="AB110" s="20"/>
      <c r="AC110" s="20"/>
      <c r="AD110" s="20"/>
      <c r="AE110" s="20"/>
      <c r="AF110" s="20"/>
      <c r="AG110" s="20"/>
    </row>
    <row r="111" spans="2:33" ht="13.5" thickBot="1">
      <c r="B111" s="676"/>
      <c r="C111" s="676"/>
      <c r="D111" s="676"/>
      <c r="E111" s="676"/>
      <c r="F111" s="676"/>
      <c r="AA111" s="20"/>
      <c r="AB111" s="20"/>
      <c r="AC111" s="20"/>
      <c r="AD111" s="20"/>
      <c r="AE111" s="20"/>
      <c r="AF111" s="20"/>
      <c r="AG111" s="20"/>
    </row>
    <row r="112" spans="1:43" ht="77.25" thickBot="1">
      <c r="A112" s="145"/>
      <c r="B112" s="76"/>
      <c r="C112" s="64" t="s">
        <v>59</v>
      </c>
      <c r="D112" s="108" t="s">
        <v>66</v>
      </c>
      <c r="E112" s="108" t="s">
        <v>90</v>
      </c>
      <c r="F112" s="174" t="s">
        <v>498</v>
      </c>
      <c r="G112" s="112" t="s">
        <v>89</v>
      </c>
      <c r="H112" s="112"/>
      <c r="I112" s="112"/>
      <c r="J112" s="112"/>
      <c r="K112" s="112"/>
      <c r="L112" s="112"/>
      <c r="M112" s="112"/>
      <c r="N112" s="112"/>
      <c r="O112" s="112"/>
      <c r="P112" s="112"/>
      <c r="Q112" s="112"/>
      <c r="R112" s="112"/>
      <c r="S112" s="112"/>
      <c r="T112" s="112"/>
      <c r="U112" s="112"/>
      <c r="V112" s="112"/>
      <c r="W112" s="112"/>
      <c r="X112" s="6"/>
      <c r="Y112" s="6"/>
      <c r="Z112" s="6"/>
      <c r="AA112" s="6"/>
      <c r="AB112" s="6"/>
      <c r="AC112" s="6"/>
      <c r="AD112" s="6"/>
      <c r="AE112" s="6"/>
      <c r="AF112" s="6"/>
      <c r="AG112" s="6"/>
      <c r="AH112" s="111"/>
      <c r="AI112" s="111"/>
      <c r="AJ112" s="111"/>
      <c r="AK112" s="111"/>
      <c r="AL112" s="111"/>
      <c r="AM112" s="111"/>
      <c r="AN112" s="111"/>
      <c r="AO112" s="111"/>
      <c r="AP112" s="111"/>
      <c r="AQ112" s="111"/>
    </row>
    <row r="113" spans="1:33" ht="12.75">
      <c r="A113" s="89"/>
      <c r="B113" s="6" t="s">
        <v>0</v>
      </c>
      <c r="C113" s="109" t="s">
        <v>68</v>
      </c>
      <c r="D113" s="119">
        <f>D94</f>
        <v>209918.10906462104</v>
      </c>
      <c r="E113" s="120">
        <f aca="true" t="shared" si="64" ref="E113:E123">W94</f>
        <v>38661.67493277718</v>
      </c>
      <c r="F113" s="121">
        <v>23197</v>
      </c>
      <c r="G113" s="150" t="s">
        <v>83</v>
      </c>
      <c r="H113" s="111"/>
      <c r="I113" s="111"/>
      <c r="J113" s="111"/>
      <c r="AA113" s="20"/>
      <c r="AB113" s="20"/>
      <c r="AC113" s="20"/>
      <c r="AD113" s="20"/>
      <c r="AE113" s="20"/>
      <c r="AF113" s="20"/>
      <c r="AG113" s="20"/>
    </row>
    <row r="114" spans="1:33" ht="12.75">
      <c r="A114" s="89"/>
      <c r="B114" s="6" t="s">
        <v>1</v>
      </c>
      <c r="C114" s="110" t="s">
        <v>76</v>
      </c>
      <c r="D114" s="119">
        <f>D95</f>
        <v>36548.57229589491</v>
      </c>
      <c r="E114" s="120">
        <f t="shared" si="64"/>
        <v>46936.874460666666</v>
      </c>
      <c r="F114" s="121">
        <f>((E114-(E114*0.07)))</f>
        <v>43651.29324842</v>
      </c>
      <c r="G114" s="151" t="s">
        <v>84</v>
      </c>
      <c r="H114" s="111"/>
      <c r="I114" s="111"/>
      <c r="J114" s="111"/>
      <c r="L114" s="118"/>
      <c r="M114" s="118"/>
      <c r="N114" s="118"/>
      <c r="AA114" s="20"/>
      <c r="AB114" s="20"/>
      <c r="AC114" s="20"/>
      <c r="AD114" s="20"/>
      <c r="AE114" s="20"/>
      <c r="AF114" s="20"/>
      <c r="AG114" s="20"/>
    </row>
    <row r="115" spans="1:33" ht="12.75">
      <c r="A115" s="89"/>
      <c r="B115" s="6" t="s">
        <v>2</v>
      </c>
      <c r="C115" s="110" t="s">
        <v>35</v>
      </c>
      <c r="D115" s="119">
        <f aca="true" t="shared" si="65" ref="D115:D121">D96</f>
        <v>44941.123456729096</v>
      </c>
      <c r="E115" s="120">
        <f t="shared" si="64"/>
        <v>42797.827159229666</v>
      </c>
      <c r="F115" s="121">
        <f>(E115+(E115*0.02))</f>
        <v>43653.78370241426</v>
      </c>
      <c r="G115" s="151" t="s">
        <v>85</v>
      </c>
      <c r="H115" s="111"/>
      <c r="I115" s="111"/>
      <c r="J115" s="111"/>
      <c r="L115" s="118"/>
      <c r="M115" s="118"/>
      <c r="N115" s="118"/>
      <c r="AA115" s="20"/>
      <c r="AB115" s="20"/>
      <c r="AC115" s="20"/>
      <c r="AD115" s="20"/>
      <c r="AE115" s="20"/>
      <c r="AF115" s="20"/>
      <c r="AG115" s="20"/>
    </row>
    <row r="116" spans="1:15" ht="12.75">
      <c r="A116" s="89"/>
      <c r="B116" s="6" t="s">
        <v>3</v>
      </c>
      <c r="C116" s="110" t="s">
        <v>36</v>
      </c>
      <c r="D116" s="119">
        <f t="shared" si="65"/>
        <v>122564.88142085136</v>
      </c>
      <c r="E116" s="120">
        <f t="shared" si="64"/>
        <v>122163.61627276035</v>
      </c>
      <c r="F116" s="121">
        <f>((E116+(E116*0.03))-(E116*0.2))</f>
        <v>101395.8015063911</v>
      </c>
      <c r="G116" s="151" t="s">
        <v>86</v>
      </c>
      <c r="H116" s="111"/>
      <c r="I116" s="111"/>
      <c r="J116" s="111"/>
      <c r="L116" s="118"/>
      <c r="M116" s="118"/>
      <c r="N116" s="118"/>
      <c r="O116" s="63"/>
    </row>
    <row r="117" spans="1:15" ht="12.75">
      <c r="A117" s="89"/>
      <c r="B117" s="6" t="s">
        <v>4</v>
      </c>
      <c r="C117" s="110" t="s">
        <v>71</v>
      </c>
      <c r="D117" s="119">
        <f>D98</f>
        <v>62234.21174181034</v>
      </c>
      <c r="E117" s="120">
        <f t="shared" si="64"/>
        <v>53637.440870135666</v>
      </c>
      <c r="F117" s="121">
        <f>((E117-(E117*0.07)))</f>
        <v>49882.82000922617</v>
      </c>
      <c r="G117" s="151" t="s">
        <v>84</v>
      </c>
      <c r="H117" s="111"/>
      <c r="I117" s="111"/>
      <c r="J117" s="111"/>
      <c r="L117" s="118"/>
      <c r="M117" s="118"/>
      <c r="N117" s="118"/>
      <c r="O117" s="63"/>
    </row>
    <row r="118" spans="1:15" ht="12.75">
      <c r="A118" s="89"/>
      <c r="B118" s="6" t="s">
        <v>5</v>
      </c>
      <c r="C118" s="110" t="s">
        <v>70</v>
      </c>
      <c r="D118" s="119">
        <f t="shared" si="65"/>
        <v>113144.36615108461</v>
      </c>
      <c r="E118" s="120">
        <f t="shared" si="64"/>
        <v>99209.55907490112</v>
      </c>
      <c r="F118" s="121">
        <f>((E118+(E118*0.01)))</f>
        <v>100201.65466565013</v>
      </c>
      <c r="G118" s="151" t="s">
        <v>87</v>
      </c>
      <c r="H118" s="111"/>
      <c r="I118" s="111"/>
      <c r="J118" s="111"/>
      <c r="L118" s="118"/>
      <c r="M118" s="118"/>
      <c r="N118" s="118"/>
      <c r="O118" s="63"/>
    </row>
    <row r="119" spans="1:15" ht="12.75">
      <c r="A119" s="89"/>
      <c r="B119" s="6" t="s">
        <v>6</v>
      </c>
      <c r="C119" s="110" t="s">
        <v>62</v>
      </c>
      <c r="D119" s="119">
        <f t="shared" si="65"/>
        <v>272.11932</v>
      </c>
      <c r="E119" s="120">
        <f t="shared" si="64"/>
        <v>191.52606</v>
      </c>
      <c r="F119" s="121">
        <f>E119</f>
        <v>191.52606</v>
      </c>
      <c r="G119" s="111" t="s">
        <v>65</v>
      </c>
      <c r="H119" s="111"/>
      <c r="I119" s="111"/>
      <c r="J119" s="111"/>
      <c r="L119" s="118"/>
      <c r="M119" s="118"/>
      <c r="N119" s="118"/>
      <c r="O119" s="63"/>
    </row>
    <row r="120" spans="1:15" ht="12.75">
      <c r="A120" s="89"/>
      <c r="B120" s="6" t="s">
        <v>56</v>
      </c>
      <c r="C120" s="110" t="s">
        <v>52</v>
      </c>
      <c r="D120" s="119">
        <f t="shared" si="65"/>
        <v>21354.564632438065</v>
      </c>
      <c r="E120" s="120">
        <f t="shared" si="64"/>
        <v>15060.847766152361</v>
      </c>
      <c r="F120" s="120">
        <f>E120</f>
        <v>15060.847766152361</v>
      </c>
      <c r="G120" s="151" t="s">
        <v>103</v>
      </c>
      <c r="H120" s="111"/>
      <c r="I120" s="111"/>
      <c r="J120" s="111"/>
      <c r="L120" s="118"/>
      <c r="M120" s="118"/>
      <c r="N120" s="118"/>
      <c r="O120" s="63"/>
    </row>
    <row r="121" spans="1:15" ht="12.75">
      <c r="A121" s="89"/>
      <c r="B121" s="6" t="s">
        <v>18</v>
      </c>
      <c r="C121" s="110" t="s">
        <v>51</v>
      </c>
      <c r="D121" s="119">
        <f t="shared" si="65"/>
        <v>1027.1866085136494</v>
      </c>
      <c r="E121" s="120">
        <f t="shared" si="64"/>
        <v>1211.8305363153804</v>
      </c>
      <c r="F121" s="124">
        <f>E121-((E121*(9.9/100)))</f>
        <v>1091.8593132201577</v>
      </c>
      <c r="G121" s="151" t="s">
        <v>88</v>
      </c>
      <c r="H121" s="111"/>
      <c r="I121" s="111"/>
      <c r="J121" s="111"/>
      <c r="L121" s="118"/>
      <c r="M121" s="118"/>
      <c r="N121" s="118"/>
      <c r="O121" s="63"/>
    </row>
    <row r="122" spans="1:19" ht="13.5" thickBot="1">
      <c r="A122" s="89"/>
      <c r="B122" s="65" t="s">
        <v>57</v>
      </c>
      <c r="C122" s="375" t="s">
        <v>63</v>
      </c>
      <c r="D122" s="122">
        <f>I103</f>
        <v>3473.219515383998</v>
      </c>
      <c r="E122" s="123">
        <f t="shared" si="64"/>
        <v>18879.796963247147</v>
      </c>
      <c r="F122" s="124">
        <f>E122-((E122*(9.9/100)))</f>
        <v>17010.69706388568</v>
      </c>
      <c r="G122" s="151" t="s">
        <v>88</v>
      </c>
      <c r="H122" s="111"/>
      <c r="I122" s="111"/>
      <c r="J122" s="111"/>
      <c r="L122" s="118"/>
      <c r="M122" s="118"/>
      <c r="N122" s="118"/>
      <c r="O122" s="143"/>
      <c r="P122" s="111"/>
      <c r="Q122" s="111"/>
      <c r="R122" s="111"/>
      <c r="S122" s="111"/>
    </row>
    <row r="123" spans="1:19" ht="13.5" thickBot="1">
      <c r="A123" s="171"/>
      <c r="C123" s="68" t="s">
        <v>20</v>
      </c>
      <c r="D123" s="115">
        <f>(D113+D114+D115+D116+D117+D118+D119+D120+D121+D122)</f>
        <v>615478.3542073272</v>
      </c>
      <c r="E123" s="48">
        <f t="shared" si="64"/>
        <v>438750.9940961855</v>
      </c>
      <c r="F123" s="116">
        <f>(F113+F114+F115+F116+F117+F118+F119+F120+F121+F122)</f>
        <v>395337.28333535977</v>
      </c>
      <c r="G123" s="111"/>
      <c r="H123" s="111"/>
      <c r="I123" s="111"/>
      <c r="J123" s="111"/>
      <c r="K123" s="111"/>
      <c r="L123" s="111" t="s">
        <v>250</v>
      </c>
      <c r="M123" s="111"/>
      <c r="N123" s="111"/>
      <c r="O123" s="111"/>
      <c r="P123" s="111"/>
      <c r="Q123" s="111"/>
      <c r="R123" s="111"/>
      <c r="S123" s="111"/>
    </row>
    <row r="124" spans="4:19" ht="12.75">
      <c r="D124" s="114"/>
      <c r="E124" s="113"/>
      <c r="K124" s="111"/>
      <c r="L124" s="154" t="s">
        <v>93</v>
      </c>
      <c r="M124" s="111"/>
      <c r="N124" s="111"/>
      <c r="O124" s="111"/>
      <c r="P124" s="111"/>
      <c r="Q124" s="111"/>
      <c r="R124" s="155" t="s">
        <v>94</v>
      </c>
      <c r="S124" s="111"/>
    </row>
    <row r="125" spans="11:26" ht="12.75">
      <c r="K125" s="111"/>
      <c r="L125" s="146" t="s">
        <v>82</v>
      </c>
      <c r="M125" s="111"/>
      <c r="N125" s="111"/>
      <c r="O125" s="111"/>
      <c r="P125" s="111"/>
      <c r="Q125" s="111"/>
      <c r="R125" s="153" t="s">
        <v>91</v>
      </c>
      <c r="S125" s="152" t="s">
        <v>92</v>
      </c>
      <c r="V125" s="111"/>
      <c r="W125" s="111"/>
      <c r="X125" s="111"/>
      <c r="Y125" s="111"/>
      <c r="Z125" s="111"/>
    </row>
    <row r="126" spans="11:27" ht="42" customHeight="1">
      <c r="K126" s="111"/>
      <c r="L126" s="111"/>
      <c r="M126" s="149">
        <v>2010</v>
      </c>
      <c r="N126" s="149" t="s">
        <v>81</v>
      </c>
      <c r="O126" s="147" t="s">
        <v>80</v>
      </c>
      <c r="P126" s="111"/>
      <c r="Q126" s="111"/>
      <c r="R126" s="159"/>
      <c r="S126" s="160">
        <v>2010</v>
      </c>
      <c r="T126" s="161">
        <v>2020</v>
      </c>
      <c r="U126" s="162" t="s">
        <v>95</v>
      </c>
      <c r="V126" s="161">
        <v>2030</v>
      </c>
      <c r="W126" s="162" t="s">
        <v>96</v>
      </c>
      <c r="X126" s="161">
        <v>2040</v>
      </c>
      <c r="Y126" s="162" t="s">
        <v>97</v>
      </c>
      <c r="Z126" s="161">
        <v>2050</v>
      </c>
      <c r="AA126" s="163" t="s">
        <v>98</v>
      </c>
    </row>
    <row r="127" spans="11:27" ht="12.75">
      <c r="K127" s="111"/>
      <c r="L127" s="85" t="s">
        <v>69</v>
      </c>
      <c r="M127" s="148">
        <v>45303.16386690663</v>
      </c>
      <c r="N127" s="148">
        <v>40794.67008353472</v>
      </c>
      <c r="O127" s="148">
        <f>U127</f>
        <v>-0.09799921839363782</v>
      </c>
      <c r="P127" s="111"/>
      <c r="Q127" s="111"/>
      <c r="R127" s="85" t="s">
        <v>69</v>
      </c>
      <c r="S127" s="89">
        <v>45303.16386690663</v>
      </c>
      <c r="T127" s="148">
        <v>45258.76712040947</v>
      </c>
      <c r="U127" s="157">
        <f aca="true" t="shared" si="66" ref="U127:U132">((T127-S127)/S127)*100</f>
        <v>-0.09799921839363782</v>
      </c>
      <c r="V127" s="148">
        <v>44838.500112661</v>
      </c>
      <c r="W127" s="157">
        <f aca="true" t="shared" si="67" ref="W127:W132">((V127-T127)/T127)*100</f>
        <v>-0.9285869556065591</v>
      </c>
      <c r="X127" s="148">
        <v>43266.43629598224</v>
      </c>
      <c r="Y127" s="157">
        <f aca="true" t="shared" si="68" ref="Y127:Y132">((X127-V127)/V127)*100</f>
        <v>-3.506057991968512</v>
      </c>
      <c r="Z127" s="89">
        <v>40794.67008353472</v>
      </c>
      <c r="AA127" s="157">
        <f aca="true" t="shared" si="69" ref="AA127:AA132">((Z127-X127)/X127)*100</f>
        <v>-5.7128953157555245</v>
      </c>
    </row>
    <row r="128" spans="11:27" ht="12.75">
      <c r="K128" s="111"/>
      <c r="L128" s="85" t="s">
        <v>35</v>
      </c>
      <c r="M128" s="148">
        <v>18004.396864896753</v>
      </c>
      <c r="N128" s="148">
        <v>18280.922594079013</v>
      </c>
      <c r="O128" s="148">
        <f>((N128-M128)/M128)*100</f>
        <v>1.5358788814603577</v>
      </c>
      <c r="P128" s="111"/>
      <c r="Q128" s="111"/>
      <c r="R128" s="85" t="s">
        <v>35</v>
      </c>
      <c r="S128" s="89">
        <v>18004.396864896753</v>
      </c>
      <c r="T128" s="148">
        <v>18548.579760138255</v>
      </c>
      <c r="U128" s="157">
        <f t="shared" si="66"/>
        <v>3.0224999999999853</v>
      </c>
      <c r="V128" s="148">
        <v>18937.827528828897</v>
      </c>
      <c r="W128" s="157">
        <f t="shared" si="67"/>
        <v>2.098531390134535</v>
      </c>
      <c r="X128" s="148">
        <v>18826.0413247763</v>
      </c>
      <c r="Y128" s="157">
        <f t="shared" si="68"/>
        <v>-0.5902799773755817</v>
      </c>
      <c r="Z128" s="89">
        <v>18280.922594079013</v>
      </c>
      <c r="AA128" s="157">
        <f t="shared" si="69"/>
        <v>-2.895556858147731</v>
      </c>
    </row>
    <row r="129" spans="11:27" ht="12.75">
      <c r="K129" s="111"/>
      <c r="L129" s="85" t="s">
        <v>77</v>
      </c>
      <c r="M129" s="148">
        <v>63560.11354440751</v>
      </c>
      <c r="N129" s="148">
        <v>58870.77631767547</v>
      </c>
      <c r="O129" s="148">
        <f>((N129-M129)/M129)*100</f>
        <v>-7.377798693603258</v>
      </c>
      <c r="P129" s="111"/>
      <c r="Q129" s="111"/>
      <c r="R129" s="85" t="s">
        <v>77</v>
      </c>
      <c r="S129" s="89">
        <v>63560.11354440751</v>
      </c>
      <c r="T129" s="148">
        <v>63938.72720691123</v>
      </c>
      <c r="U129" s="157">
        <f t="shared" si="66"/>
        <v>0.595678077634635</v>
      </c>
      <c r="V129" s="148">
        <v>63779.79452800393</v>
      </c>
      <c r="W129" s="157">
        <f t="shared" si="67"/>
        <v>-0.2485702888532363</v>
      </c>
      <c r="X129" s="148">
        <v>61981.504783614946</v>
      </c>
      <c r="Y129" s="157">
        <f t="shared" si="68"/>
        <v>-2.819528908327547</v>
      </c>
      <c r="Z129" s="89">
        <v>58870.77631767547</v>
      </c>
      <c r="AA129" s="157">
        <f t="shared" si="69"/>
        <v>-5.018801135595876</v>
      </c>
    </row>
    <row r="130" spans="11:27" ht="12.75">
      <c r="K130" s="111"/>
      <c r="L130" s="85" t="s">
        <v>70</v>
      </c>
      <c r="M130" s="148">
        <v>72960.68165743587</v>
      </c>
      <c r="N130" s="148">
        <v>73692.58596832737</v>
      </c>
      <c r="O130" s="148">
        <f>((N130-M130)/M130)*100</f>
        <v>1.0031489485363296</v>
      </c>
      <c r="P130" s="111"/>
      <c r="Q130" s="111"/>
      <c r="R130" s="85" t="s">
        <v>70</v>
      </c>
      <c r="S130" s="89">
        <v>72960.68165743587</v>
      </c>
      <c r="T130" s="148">
        <v>75878.88517181322</v>
      </c>
      <c r="U130" s="157">
        <f t="shared" si="66"/>
        <v>3.9996933253431877</v>
      </c>
      <c r="V130" s="148">
        <v>76922.74500139209</v>
      </c>
      <c r="W130" s="157">
        <f t="shared" si="67"/>
        <v>1.3756921009253733</v>
      </c>
      <c r="X130" s="148">
        <v>76094.31469847221</v>
      </c>
      <c r="Y130" s="157">
        <f t="shared" si="68"/>
        <v>-1.076964040876188</v>
      </c>
      <c r="Z130" s="89">
        <v>73692.58596832737</v>
      </c>
      <c r="AA130" s="157">
        <f t="shared" si="69"/>
        <v>-3.1562525264361945</v>
      </c>
    </row>
    <row r="131" spans="11:27" ht="12.75">
      <c r="K131" s="111"/>
      <c r="L131" s="85" t="s">
        <v>78</v>
      </c>
      <c r="M131" s="148">
        <v>5620.068382455202</v>
      </c>
      <c r="N131" s="148">
        <v>5620</v>
      </c>
      <c r="O131" s="148">
        <f>((N131-M131)/M131)*100</f>
        <v>-0.0012167548604043563</v>
      </c>
      <c r="P131" s="111"/>
      <c r="Q131" s="111"/>
      <c r="R131" s="85" t="s">
        <v>78</v>
      </c>
      <c r="S131" s="89">
        <v>5620.068382455202</v>
      </c>
      <c r="T131" s="148">
        <v>5620</v>
      </c>
      <c r="U131" s="157">
        <f t="shared" si="66"/>
        <v>-0.0012167548604043563</v>
      </c>
      <c r="V131" s="148">
        <v>5620</v>
      </c>
      <c r="W131" s="157">
        <f t="shared" si="67"/>
        <v>0</v>
      </c>
      <c r="X131" s="148">
        <v>5620</v>
      </c>
      <c r="Y131" s="157">
        <f t="shared" si="68"/>
        <v>0</v>
      </c>
      <c r="Z131" s="89">
        <v>5620</v>
      </c>
      <c r="AA131" s="157">
        <f t="shared" si="69"/>
        <v>0</v>
      </c>
    </row>
    <row r="132" spans="11:27" ht="12.75">
      <c r="K132" s="111"/>
      <c r="L132" s="85" t="s">
        <v>79</v>
      </c>
      <c r="M132" s="148">
        <v>205448.42431610197</v>
      </c>
      <c r="N132" s="148">
        <v>197833.40251559948</v>
      </c>
      <c r="O132" s="148">
        <f>((N132-M132)/M132)*100</f>
        <v>-3.706536969485859</v>
      </c>
      <c r="P132" s="111"/>
      <c r="Q132" s="111"/>
      <c r="R132" s="85" t="s">
        <v>79</v>
      </c>
      <c r="S132" s="89">
        <v>205448.42431610197</v>
      </c>
      <c r="T132" s="148">
        <v>209489.41120755623</v>
      </c>
      <c r="U132" s="157">
        <f t="shared" si="66"/>
        <v>1.966910627280751</v>
      </c>
      <c r="V132" s="148">
        <v>210602.28760606042</v>
      </c>
      <c r="W132" s="157">
        <f t="shared" si="67"/>
        <v>0.531232768324305</v>
      </c>
      <c r="X132" s="148">
        <v>206397.78307716004</v>
      </c>
      <c r="Y132" s="157">
        <f t="shared" si="68"/>
        <v>-1.9964192111555128</v>
      </c>
      <c r="Z132" s="89">
        <v>197833.402515599</v>
      </c>
      <c r="AA132" s="157">
        <f t="shared" si="69"/>
        <v>-4.149453755692382</v>
      </c>
    </row>
    <row r="133" spans="11:27" ht="12.75">
      <c r="K133" s="111"/>
      <c r="L133" s="111"/>
      <c r="M133" s="111"/>
      <c r="N133" s="111"/>
      <c r="O133" s="111"/>
      <c r="P133" s="111"/>
      <c r="Q133" s="111"/>
      <c r="R133" s="111"/>
      <c r="S133" s="147"/>
      <c r="T133" s="158"/>
      <c r="U133" s="158"/>
      <c r="V133" s="158"/>
      <c r="W133" s="158"/>
      <c r="X133" s="158"/>
      <c r="Y133" s="158"/>
      <c r="Z133" s="158"/>
      <c r="AA133" s="89"/>
    </row>
    <row r="134" spans="11:19" ht="12.75">
      <c r="K134" s="111"/>
      <c r="L134" s="111"/>
      <c r="M134" s="111"/>
      <c r="N134" s="111"/>
      <c r="O134" s="111"/>
      <c r="P134" s="111"/>
      <c r="Q134" s="111"/>
      <c r="R134" s="111"/>
      <c r="S134" s="111"/>
    </row>
    <row r="135" spans="18:19" ht="12.75">
      <c r="R135" s="111"/>
      <c r="S135" s="111"/>
    </row>
    <row r="136" spans="18:19" ht="18">
      <c r="R136" s="173" t="s">
        <v>414</v>
      </c>
      <c r="S136" s="111"/>
    </row>
    <row r="137" spans="17:27" ht="60" customHeight="1" thickBot="1">
      <c r="Q137" s="166"/>
      <c r="R137" s="168" t="s">
        <v>59</v>
      </c>
      <c r="S137" s="175" t="s">
        <v>66</v>
      </c>
      <c r="T137" s="177">
        <v>2010</v>
      </c>
      <c r="U137" s="176">
        <v>2020</v>
      </c>
      <c r="V137" s="177">
        <v>2030</v>
      </c>
      <c r="W137" s="177">
        <v>2040</v>
      </c>
      <c r="X137" s="177">
        <v>2050</v>
      </c>
      <c r="Y137" s="172" t="s">
        <v>106</v>
      </c>
      <c r="Z137" s="164" t="s">
        <v>99</v>
      </c>
      <c r="AA137" s="164"/>
    </row>
    <row r="138" spans="17:27" ht="13.5" thickTop="1">
      <c r="Q138" s="63" t="s">
        <v>0</v>
      </c>
      <c r="R138" s="178" t="s">
        <v>68</v>
      </c>
      <c r="S138" s="89">
        <v>209918.10906462104</v>
      </c>
      <c r="T138" s="89">
        <v>38661.67493277718</v>
      </c>
      <c r="U138" s="89">
        <v>41192</v>
      </c>
      <c r="V138" s="89">
        <v>44052</v>
      </c>
      <c r="W138" s="89">
        <v>17542</v>
      </c>
      <c r="X138" s="89">
        <v>17542</v>
      </c>
      <c r="Y138" s="169">
        <f>S138*0.2</f>
        <v>41983.62181292421</v>
      </c>
      <c r="Z138" s="63" t="s">
        <v>102</v>
      </c>
      <c r="AA138" s="63"/>
    </row>
    <row r="139" spans="17:27" ht="12.75">
      <c r="Q139" s="63" t="s">
        <v>1</v>
      </c>
      <c r="R139" s="178" t="s">
        <v>76</v>
      </c>
      <c r="S139" s="89">
        <v>36548.57229589491</v>
      </c>
      <c r="T139" s="89">
        <v>46936.874460666666</v>
      </c>
      <c r="U139" s="89">
        <f>(T139)+(0.01*T139)</f>
        <v>47406.243205273335</v>
      </c>
      <c r="V139" s="89">
        <f>(U139)</f>
        <v>47406.243205273335</v>
      </c>
      <c r="W139" s="89">
        <f>(V139)-(V139*0.03)</f>
        <v>45984.05590911514</v>
      </c>
      <c r="X139" s="89">
        <f>(W139)-(W139*0.05)</f>
        <v>43684.85311365938</v>
      </c>
      <c r="Y139" s="169">
        <f aca="true" t="shared" si="70" ref="Y139:Y148">S139*0.2</f>
        <v>7309.714459178983</v>
      </c>
      <c r="Z139" s="63" t="s">
        <v>107</v>
      </c>
      <c r="AA139" s="63"/>
    </row>
    <row r="140" spans="17:27" ht="12.75">
      <c r="Q140" s="63" t="s">
        <v>2</v>
      </c>
      <c r="R140" s="178" t="s">
        <v>35</v>
      </c>
      <c r="S140" s="89">
        <v>44941.123456729096</v>
      </c>
      <c r="T140" s="89">
        <v>42797.827159229666</v>
      </c>
      <c r="U140" s="89">
        <f>(T140)+(0.02*T140)</f>
        <v>43653.78370241426</v>
      </c>
      <c r="V140" s="89">
        <f>(U140)+(0.03*U140)</f>
        <v>44963.397213486685</v>
      </c>
      <c r="W140" s="89">
        <f>(V140)+(0.01*V140)</f>
        <v>45413.031185621556</v>
      </c>
      <c r="X140" s="89">
        <f>(W140)-(0.03*W140)</f>
        <v>44050.64025005291</v>
      </c>
      <c r="Y140" s="169">
        <f t="shared" si="70"/>
        <v>8988.22469134582</v>
      </c>
      <c r="Z140" s="63" t="s">
        <v>107</v>
      </c>
      <c r="AA140" s="63"/>
    </row>
    <row r="141" spans="17:27" ht="12.75">
      <c r="Q141" s="63" t="s">
        <v>3</v>
      </c>
      <c r="R141" s="178" t="s">
        <v>36</v>
      </c>
      <c r="S141" s="89">
        <v>122564.88142085136</v>
      </c>
      <c r="T141" s="89">
        <v>122163.61627276035</v>
      </c>
      <c r="U141" s="89">
        <f>T141</f>
        <v>122163.61627276035</v>
      </c>
      <c r="V141" s="89">
        <f>(T141)-(0.01*T141)</f>
        <v>120941.98011003275</v>
      </c>
      <c r="W141" s="89">
        <f>(U141)-(0.04*U141)</f>
        <v>117277.07162184994</v>
      </c>
      <c r="X141" s="89">
        <f>(V141)-(0.06*V141)</f>
        <v>113685.46130343078</v>
      </c>
      <c r="Y141" s="169">
        <f t="shared" si="70"/>
        <v>24512.976284170276</v>
      </c>
      <c r="Z141" s="63" t="s">
        <v>107</v>
      </c>
      <c r="AA141" s="63"/>
    </row>
    <row r="142" spans="17:27" ht="12.75">
      <c r="Q142" s="63" t="s">
        <v>4</v>
      </c>
      <c r="R142" s="178" t="s">
        <v>71</v>
      </c>
      <c r="S142" s="89">
        <v>62234.21174181034</v>
      </c>
      <c r="T142" s="89">
        <v>53637.440870135666</v>
      </c>
      <c r="U142" s="89">
        <f>(T142)+(0.01*T142)</f>
        <v>54173.81527883702</v>
      </c>
      <c r="V142" s="89">
        <f>(U142)</f>
        <v>54173.81527883702</v>
      </c>
      <c r="W142" s="89">
        <f>(V142)-(V142*0.03)</f>
        <v>52548.60082047191</v>
      </c>
      <c r="X142" s="89">
        <f>(W142)-(W142*0.05)</f>
        <v>49921.170779448315</v>
      </c>
      <c r="Y142" s="169">
        <f t="shared" si="70"/>
        <v>12446.842348362068</v>
      </c>
      <c r="Z142" s="63" t="s">
        <v>107</v>
      </c>
      <c r="AA142" s="63"/>
    </row>
    <row r="143" spans="17:27" ht="12.75">
      <c r="Q143" s="63" t="s">
        <v>5</v>
      </c>
      <c r="R143" s="178" t="s">
        <v>70</v>
      </c>
      <c r="S143" s="89">
        <v>113144.36615108461</v>
      </c>
      <c r="T143" s="89">
        <v>99209.55907490112</v>
      </c>
      <c r="U143" s="89">
        <f>(T143)+(0.04*T143)</f>
        <v>103177.94143789716</v>
      </c>
      <c r="V143" s="89">
        <f>(U143)+(0.01*U143)</f>
        <v>104209.72085227612</v>
      </c>
      <c r="W143" s="89">
        <f>(V143)-(0.01*V143)</f>
        <v>103167.62364375337</v>
      </c>
      <c r="X143" s="89">
        <f>(W143)-(0.03*W143)</f>
        <v>100072.59493444077</v>
      </c>
      <c r="Y143" s="169">
        <f t="shared" si="70"/>
        <v>22628.873230216923</v>
      </c>
      <c r="Z143" s="63" t="s">
        <v>107</v>
      </c>
      <c r="AA143" s="63"/>
    </row>
    <row r="144" spans="17:27" ht="12.75">
      <c r="Q144" s="63" t="s">
        <v>6</v>
      </c>
      <c r="R144" s="178" t="s">
        <v>62</v>
      </c>
      <c r="S144" s="89">
        <v>272.11932</v>
      </c>
      <c r="T144" s="89">
        <v>191.52606</v>
      </c>
      <c r="U144" s="89">
        <v>191.52606</v>
      </c>
      <c r="V144" s="89">
        <v>191.52606</v>
      </c>
      <c r="W144" s="89">
        <v>191.52606</v>
      </c>
      <c r="X144" s="89">
        <v>191.52606</v>
      </c>
      <c r="Y144" s="169">
        <f t="shared" si="70"/>
        <v>54.42386400000001</v>
      </c>
      <c r="Z144" s="63" t="s">
        <v>101</v>
      </c>
      <c r="AA144" s="63"/>
    </row>
    <row r="145" spans="17:27" ht="12.75">
      <c r="Q145" s="63" t="s">
        <v>56</v>
      </c>
      <c r="R145" s="178" t="s">
        <v>52</v>
      </c>
      <c r="S145" s="89">
        <v>21354.564632438065</v>
      </c>
      <c r="T145" s="89">
        <v>15060.847766152361</v>
      </c>
      <c r="U145" s="89">
        <v>15060.847766152361</v>
      </c>
      <c r="V145" s="89">
        <v>15060.847766152361</v>
      </c>
      <c r="W145" s="89">
        <v>15060.847766152361</v>
      </c>
      <c r="X145" s="89">
        <v>15060.847766152361</v>
      </c>
      <c r="Y145" s="169">
        <f t="shared" si="70"/>
        <v>4270.912926487613</v>
      </c>
      <c r="Z145" s="63" t="s">
        <v>101</v>
      </c>
      <c r="AA145" s="63"/>
    </row>
    <row r="146" spans="17:27" ht="12.75">
      <c r="Q146" s="63" t="s">
        <v>18</v>
      </c>
      <c r="R146" s="178" t="s">
        <v>51</v>
      </c>
      <c r="S146" s="89">
        <v>1027.1866085136494</v>
      </c>
      <c r="T146" s="89">
        <v>1211.8305363153804</v>
      </c>
      <c r="U146" s="89">
        <f>T146</f>
        <v>1211.8305363153804</v>
      </c>
      <c r="V146" s="89">
        <f>U146-(U146*0.09)</f>
        <v>1102.7657880469962</v>
      </c>
      <c r="W146" s="89">
        <f>V146-(V146*0.035)</f>
        <v>1064.1689854653514</v>
      </c>
      <c r="X146" s="89">
        <f>W146-(W146*0.057)</f>
        <v>1003.5113532938263</v>
      </c>
      <c r="Y146" s="169">
        <f t="shared" si="70"/>
        <v>205.4373217027299</v>
      </c>
      <c r="Z146" s="63" t="s">
        <v>100</v>
      </c>
      <c r="AA146" s="63"/>
    </row>
    <row r="147" spans="17:27" ht="12.75">
      <c r="Q147" s="63" t="s">
        <v>57</v>
      </c>
      <c r="R147" s="178" t="s">
        <v>63</v>
      </c>
      <c r="S147" s="89">
        <f>D122</f>
        <v>3473.219515383998</v>
      </c>
      <c r="T147" s="89">
        <v>18879.796963247147</v>
      </c>
      <c r="U147" s="89">
        <f>T147</f>
        <v>18879.796963247147</v>
      </c>
      <c r="V147" s="89">
        <f>U147-(U147*0.09)</f>
        <v>17180.615236554902</v>
      </c>
      <c r="W147" s="89">
        <f>V147-(V147*0.035)</f>
        <v>16579.29370327548</v>
      </c>
      <c r="X147" s="89">
        <f>W147-(W147*0.057)</f>
        <v>15634.27396218878</v>
      </c>
      <c r="Y147" s="169">
        <f t="shared" si="70"/>
        <v>694.6439030767997</v>
      </c>
      <c r="Z147" s="63" t="s">
        <v>100</v>
      </c>
      <c r="AA147" s="63"/>
    </row>
    <row r="148" spans="17:27" ht="12.75">
      <c r="Q148" s="63"/>
      <c r="R148" s="179" t="s">
        <v>20</v>
      </c>
      <c r="S148" s="171">
        <f>S138+S139+S140+S141+S142+S143+S144+S145+S146+S147</f>
        <v>615478.3542073272</v>
      </c>
      <c r="T148" s="171">
        <f>(T138+T139+T140+T141+T142+T143+T144+T145+T146+T147)</f>
        <v>438750.9940961855</v>
      </c>
      <c r="U148" s="171">
        <f>(U138+U139+U140+U141+U142+U143+U144+U145+U146+U147)</f>
        <v>447111.401222897</v>
      </c>
      <c r="V148" s="171">
        <f>(V138+V139+V140+V141+V142+V143+V144+V145+V146+V147)</f>
        <v>449282.91151066014</v>
      </c>
      <c r="W148" s="171">
        <f>(W138+W139+W140+W141+W142+W143+W144+W145+W146+W147)</f>
        <v>414828.2196957051</v>
      </c>
      <c r="X148" s="171">
        <f>(X138+X139+X140+X141+X142+X143+X144+X145+X146+X147)</f>
        <v>400846.8795226671</v>
      </c>
      <c r="Y148" s="170">
        <f t="shared" si="70"/>
        <v>123095.67084146546</v>
      </c>
      <c r="Z148" s="63"/>
      <c r="AA148" s="63"/>
    </row>
    <row r="149" spans="18:25" ht="12.75">
      <c r="R149" s="178" t="s">
        <v>104</v>
      </c>
      <c r="S149" s="158"/>
      <c r="T149" s="158"/>
      <c r="U149" s="89"/>
      <c r="V149" s="89"/>
      <c r="W149" s="89"/>
      <c r="X149" s="171">
        <f>Y148</f>
        <v>123095.67084146546</v>
      </c>
      <c r="Y149" s="147"/>
    </row>
    <row r="150" ht="12.75"/>
    <row r="151" ht="12.75">
      <c r="S151" t="s">
        <v>252</v>
      </c>
    </row>
    <row r="152" ht="12.75"/>
    <row r="153" ht="12.75"/>
    <row r="154" ht="12.75">
      <c r="AC154">
        <v>1027.1866085136494</v>
      </c>
    </row>
    <row r="155" ht="12.75">
      <c r="AC155">
        <v>3473.219515383998</v>
      </c>
    </row>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5.75">
      <c r="R192" s="181" t="s">
        <v>282</v>
      </c>
    </row>
    <row r="193" spans="18:26" ht="66" customHeight="1">
      <c r="R193" s="152" t="s">
        <v>59</v>
      </c>
      <c r="S193" s="156" t="s">
        <v>66</v>
      </c>
      <c r="T193" s="156">
        <v>2010</v>
      </c>
      <c r="U193" s="167">
        <v>2020</v>
      </c>
      <c r="V193" s="167">
        <v>2030</v>
      </c>
      <c r="W193" s="167">
        <v>2040</v>
      </c>
      <c r="X193" s="167">
        <v>2050</v>
      </c>
      <c r="Y193" s="165" t="s">
        <v>281</v>
      </c>
      <c r="Z193" t="s">
        <v>99</v>
      </c>
    </row>
    <row r="194" spans="17:26" ht="12.75">
      <c r="Q194" t="s">
        <v>0</v>
      </c>
      <c r="R194" s="152" t="s">
        <v>68</v>
      </c>
      <c r="S194" s="157">
        <v>209918.10906462104</v>
      </c>
      <c r="T194" s="157">
        <f>T138</f>
        <v>38661.67493277718</v>
      </c>
      <c r="U194" s="89">
        <f>T194-(T194*0.18)</f>
        <v>31702.57344487729</v>
      </c>
      <c r="V194" s="89">
        <f>U194-(U194*0.219)</f>
        <v>24759.709860449162</v>
      </c>
      <c r="W194" s="89">
        <f>V194-(V194*0.2819)</f>
        <v>17779.947650788545</v>
      </c>
      <c r="X194" s="89">
        <f>W194-(W194*0.3926)</f>
        <v>10799.540203088962</v>
      </c>
      <c r="Y194" s="89">
        <v>41983.6218129242</v>
      </c>
      <c r="Z194" t="s">
        <v>406</v>
      </c>
    </row>
    <row r="195" spans="17:26" ht="12.75">
      <c r="Q195" t="s">
        <v>1</v>
      </c>
      <c r="R195" s="152" t="s">
        <v>76</v>
      </c>
      <c r="S195" s="157">
        <v>36548.57229589491</v>
      </c>
      <c r="T195" s="157">
        <f aca="true" t="shared" si="71" ref="T195:T204">T139</f>
        <v>46936.874460666666</v>
      </c>
      <c r="U195" s="89">
        <f aca="true" t="shared" si="72" ref="U195:U204">T195-(T195*0.18)</f>
        <v>38488.237057746665</v>
      </c>
      <c r="V195" s="89">
        <f aca="true" t="shared" si="73" ref="V195:V204">U195-(U195*0.219)</f>
        <v>30059.313142100145</v>
      </c>
      <c r="W195" s="89">
        <f aca="true" t="shared" si="74" ref="W195:W204">V195-(V195*0.2819)</f>
        <v>21585.592767342117</v>
      </c>
      <c r="X195" s="89">
        <f aca="true" t="shared" si="75" ref="X195:X202">W195-(W195*0.3926)</f>
        <v>13111.089046883602</v>
      </c>
      <c r="Y195" s="89">
        <v>7309.714459178983</v>
      </c>
      <c r="Z195" t="s">
        <v>107</v>
      </c>
    </row>
    <row r="196" spans="17:26" ht="12.75">
      <c r="Q196" t="s">
        <v>2</v>
      </c>
      <c r="R196" s="152" t="s">
        <v>35</v>
      </c>
      <c r="S196" s="157">
        <v>44941.123456729096</v>
      </c>
      <c r="T196" s="157">
        <f t="shared" si="71"/>
        <v>42797.827159229666</v>
      </c>
      <c r="U196" s="89">
        <f t="shared" si="72"/>
        <v>35094.21827056832</v>
      </c>
      <c r="V196" s="89">
        <f t="shared" si="73"/>
        <v>27408.58446931386</v>
      </c>
      <c r="W196" s="89">
        <f t="shared" si="74"/>
        <v>19682.104507414282</v>
      </c>
      <c r="X196" s="89">
        <f t="shared" si="75"/>
        <v>11954.910277803436</v>
      </c>
      <c r="Y196" s="89">
        <v>8988.22469134582</v>
      </c>
      <c r="Z196" t="s">
        <v>107</v>
      </c>
    </row>
    <row r="197" spans="17:26" ht="12.75">
      <c r="Q197" t="s">
        <v>3</v>
      </c>
      <c r="R197" s="152" t="s">
        <v>36</v>
      </c>
      <c r="S197" s="157">
        <v>122564.88142085136</v>
      </c>
      <c r="T197" s="157">
        <f t="shared" si="71"/>
        <v>122163.61627276035</v>
      </c>
      <c r="U197" s="89">
        <f t="shared" si="72"/>
        <v>100174.16534366348</v>
      </c>
      <c r="V197" s="89">
        <f t="shared" si="73"/>
        <v>78236.02313340118</v>
      </c>
      <c r="W197" s="89">
        <f t="shared" si="74"/>
        <v>56181.28821209539</v>
      </c>
      <c r="X197" s="89">
        <f t="shared" si="75"/>
        <v>34124.51446002674</v>
      </c>
      <c r="Y197" s="89">
        <v>24512.976284170276</v>
      </c>
      <c r="Z197" t="s">
        <v>107</v>
      </c>
    </row>
    <row r="198" spans="17:26" ht="12.75">
      <c r="Q198" t="s">
        <v>4</v>
      </c>
      <c r="R198" s="152" t="s">
        <v>71</v>
      </c>
      <c r="S198" s="157">
        <v>62234.21174181034</v>
      </c>
      <c r="T198" s="157">
        <f t="shared" si="71"/>
        <v>53637.440870135666</v>
      </c>
      <c r="U198" s="89">
        <f t="shared" si="72"/>
        <v>43982.701513511245</v>
      </c>
      <c r="V198" s="89">
        <f t="shared" si="73"/>
        <v>34350.48988205228</v>
      </c>
      <c r="W198" s="89">
        <f t="shared" si="74"/>
        <v>24667.08678430174</v>
      </c>
      <c r="X198" s="89">
        <f t="shared" si="75"/>
        <v>14982.788512784877</v>
      </c>
      <c r="Y198" s="89">
        <v>12446.842348362068</v>
      </c>
      <c r="Z198" t="s">
        <v>107</v>
      </c>
    </row>
    <row r="199" spans="17:26" ht="12.75">
      <c r="Q199" t="s">
        <v>5</v>
      </c>
      <c r="R199" s="152" t="s">
        <v>70</v>
      </c>
      <c r="S199" s="157">
        <v>113144.36615108461</v>
      </c>
      <c r="T199" s="157">
        <f t="shared" si="71"/>
        <v>99209.55907490112</v>
      </c>
      <c r="U199" s="89">
        <f t="shared" si="72"/>
        <v>81351.83844141892</v>
      </c>
      <c r="V199" s="89">
        <f t="shared" si="73"/>
        <v>63535.78582274818</v>
      </c>
      <c r="W199" s="89">
        <f t="shared" si="74"/>
        <v>45625.04779931546</v>
      </c>
      <c r="X199" s="89">
        <f t="shared" si="75"/>
        <v>27712.654033304214</v>
      </c>
      <c r="Y199" s="89">
        <v>22628.873230216923</v>
      </c>
      <c r="Z199" t="s">
        <v>107</v>
      </c>
    </row>
    <row r="200" spans="17:26" ht="12.75">
      <c r="Q200" t="s">
        <v>6</v>
      </c>
      <c r="R200" s="152" t="s">
        <v>62</v>
      </c>
      <c r="S200" s="157">
        <v>272.11932</v>
      </c>
      <c r="T200" s="157">
        <f t="shared" si="71"/>
        <v>191.52606</v>
      </c>
      <c r="U200" s="89">
        <f t="shared" si="72"/>
        <v>157.0513692</v>
      </c>
      <c r="V200" s="89">
        <f t="shared" si="73"/>
        <v>122.65711934520002</v>
      </c>
      <c r="W200" s="89">
        <f t="shared" si="74"/>
        <v>88.08007740178813</v>
      </c>
      <c r="X200" s="89">
        <f t="shared" si="75"/>
        <v>53.49983901384611</v>
      </c>
      <c r="Y200" s="89">
        <v>54.42386400000001</v>
      </c>
      <c r="Z200" t="s">
        <v>101</v>
      </c>
    </row>
    <row r="201" spans="17:26" ht="12.75">
      <c r="Q201" t="s">
        <v>56</v>
      </c>
      <c r="R201" s="152" t="s">
        <v>52</v>
      </c>
      <c r="S201" s="157">
        <v>21354.564632438065</v>
      </c>
      <c r="T201" s="157">
        <f t="shared" si="71"/>
        <v>15060.847766152361</v>
      </c>
      <c r="U201" s="89">
        <f t="shared" si="72"/>
        <v>12349.895168244937</v>
      </c>
      <c r="V201" s="89">
        <f t="shared" si="73"/>
        <v>9645.268126399296</v>
      </c>
      <c r="W201" s="89">
        <f t="shared" si="74"/>
        <v>6926.267041567335</v>
      </c>
      <c r="X201" s="89">
        <f t="shared" si="75"/>
        <v>4207.014601047998</v>
      </c>
      <c r="Y201" s="89">
        <v>4270.912926487613</v>
      </c>
      <c r="Z201" t="s">
        <v>101</v>
      </c>
    </row>
    <row r="202" spans="17:26" ht="12.75">
      <c r="Q202" t="s">
        <v>18</v>
      </c>
      <c r="R202" s="152" t="s">
        <v>51</v>
      </c>
      <c r="S202" s="157">
        <v>1027.1866085136494</v>
      </c>
      <c r="T202" s="157">
        <f t="shared" si="71"/>
        <v>1211.8305363153804</v>
      </c>
      <c r="U202" s="89">
        <f t="shared" si="72"/>
        <v>993.701039778612</v>
      </c>
      <c r="V202" s="89">
        <f t="shared" si="73"/>
        <v>776.0805120670959</v>
      </c>
      <c r="W202" s="89">
        <f t="shared" si="74"/>
        <v>557.3034157153816</v>
      </c>
      <c r="X202" s="89">
        <f t="shared" si="75"/>
        <v>338.50609470552274</v>
      </c>
      <c r="Y202" s="89">
        <v>205.4373217027299</v>
      </c>
      <c r="Z202" t="s">
        <v>100</v>
      </c>
    </row>
    <row r="203" spans="17:26" ht="12.75">
      <c r="Q203" t="s">
        <v>57</v>
      </c>
      <c r="R203" s="152" t="s">
        <v>63</v>
      </c>
      <c r="S203" s="157">
        <f>D122</f>
        <v>3473.219515383998</v>
      </c>
      <c r="T203" s="157">
        <f t="shared" si="71"/>
        <v>18879.796963247147</v>
      </c>
      <c r="U203" s="89">
        <f t="shared" si="72"/>
        <v>15481.433509862662</v>
      </c>
      <c r="V203" s="89">
        <f t="shared" si="73"/>
        <v>12090.999571202738</v>
      </c>
      <c r="W203" s="89">
        <f t="shared" si="74"/>
        <v>8682.546792080686</v>
      </c>
      <c r="X203" s="89">
        <f>W203-(W203*0.3926)</f>
        <v>5273.778921509809</v>
      </c>
      <c r="Y203" s="89">
        <f>Y147</f>
        <v>694.6439030767997</v>
      </c>
      <c r="Z203" t="s">
        <v>100</v>
      </c>
    </row>
    <row r="204" spans="18:25" ht="12.75">
      <c r="R204" s="152" t="s">
        <v>20</v>
      </c>
      <c r="S204" s="157">
        <v>612055.7695900393</v>
      </c>
      <c r="T204" s="157">
        <f t="shared" si="71"/>
        <v>438750.9940961855</v>
      </c>
      <c r="U204" s="89">
        <f t="shared" si="72"/>
        <v>359775.8151588721</v>
      </c>
      <c r="V204" s="89">
        <f t="shared" si="73"/>
        <v>280984.9116390791</v>
      </c>
      <c r="W204" s="89">
        <f t="shared" si="74"/>
        <v>201775.2650480227</v>
      </c>
      <c r="X204" s="89">
        <f>W204-(W204*0.3926)</f>
        <v>122558.29599016899</v>
      </c>
      <c r="Y204" s="89">
        <v>122411.15391800785</v>
      </c>
    </row>
    <row r="205" spans="18:25" ht="12.75">
      <c r="R205" s="152" t="s">
        <v>104</v>
      </c>
      <c r="S205" s="63"/>
      <c r="T205" s="63"/>
      <c r="U205" s="63"/>
      <c r="V205" s="63"/>
      <c r="W205" s="63"/>
      <c r="X205" s="63">
        <v>122411</v>
      </c>
      <c r="Y205" s="63"/>
    </row>
    <row r="206" spans="18:24" ht="12.75">
      <c r="R206" s="152" t="s">
        <v>108</v>
      </c>
      <c r="T206" s="180">
        <v>-0.283</v>
      </c>
      <c r="U206" s="180">
        <v>-0.18</v>
      </c>
      <c r="V206" s="180">
        <v>-0.219</v>
      </c>
      <c r="W206" s="180">
        <v>-0.2819</v>
      </c>
      <c r="X206" s="180">
        <v>-0.3926</v>
      </c>
    </row>
    <row r="207" ht="12.75"/>
    <row r="208" ht="12.75"/>
    <row r="209" ht="12.75"/>
  </sheetData>
  <sheetProtection/>
  <mergeCells count="1">
    <mergeCell ref="B110:F111"/>
  </mergeCells>
  <printOptions/>
  <pageMargins left="0.7086614173228347" right="0.7086614173228347" top="0.7480314960629921" bottom="0.7480314960629921" header="0.31496062992125984" footer="0.31496062992125984"/>
  <pageSetup horizontalDpi="600" verticalDpi="600" orientation="landscape" paperSize="8" r:id="rId4"/>
  <drawing r:id="rId3"/>
  <legacyDrawing r:id="rId2"/>
</worksheet>
</file>

<file path=xl/worksheets/sheet2.xml><?xml version="1.0" encoding="utf-8"?>
<worksheet xmlns="http://schemas.openxmlformats.org/spreadsheetml/2006/main" xmlns:r="http://schemas.openxmlformats.org/officeDocument/2006/relationships">
  <dimension ref="B3:AP100"/>
  <sheetViews>
    <sheetView workbookViewId="0" topLeftCell="A10">
      <selection activeCell="B20" sqref="B20"/>
    </sheetView>
  </sheetViews>
  <sheetFormatPr defaultColWidth="9.140625" defaultRowHeight="12.75"/>
  <cols>
    <col min="3" max="3" width="51.00390625" style="55" customWidth="1"/>
    <col min="4" max="4" width="17.28125" style="0" bestFit="1" customWidth="1"/>
    <col min="5" max="5" width="15.421875" style="0" customWidth="1"/>
    <col min="6" max="6" width="11.7109375" style="0" customWidth="1"/>
    <col min="7" max="7" width="13.00390625" style="0" customWidth="1"/>
    <col min="8" max="8" width="11.140625" style="0" customWidth="1"/>
    <col min="11" max="11" width="31.7109375" style="0" customWidth="1"/>
    <col min="12" max="12" width="19.421875" style="0" customWidth="1"/>
    <col min="13" max="13" width="6.57421875" style="0" customWidth="1"/>
    <col min="14" max="14" width="15.140625" style="0" customWidth="1"/>
  </cols>
  <sheetData>
    <row r="1" ht="12.75"/>
    <row r="2" ht="12.75"/>
    <row r="3" spans="3:11" ht="16.5" thickBot="1">
      <c r="C3" s="283" t="s">
        <v>105</v>
      </c>
      <c r="D3" s="279"/>
      <c r="E3" s="279"/>
      <c r="F3" s="279"/>
      <c r="G3" s="279"/>
      <c r="H3" s="279"/>
      <c r="I3" s="279"/>
      <c r="J3" s="279"/>
      <c r="K3" s="279"/>
    </row>
    <row r="4" spans="3:14" ht="52.5" thickBot="1" thickTop="1">
      <c r="C4" s="280" t="s">
        <v>59</v>
      </c>
      <c r="D4" s="186" t="s">
        <v>66</v>
      </c>
      <c r="E4" s="187" t="s">
        <v>90</v>
      </c>
      <c r="F4" s="187">
        <v>2020</v>
      </c>
      <c r="G4" s="187">
        <v>2030</v>
      </c>
      <c r="H4" s="187">
        <v>2040</v>
      </c>
      <c r="I4" s="187">
        <v>2050</v>
      </c>
      <c r="J4" s="188" t="s">
        <v>106</v>
      </c>
      <c r="K4" s="279"/>
      <c r="N4" s="342">
        <v>0</v>
      </c>
    </row>
    <row r="5" spans="3:11" ht="16.5" thickTop="1">
      <c r="C5" s="283" t="s">
        <v>52</v>
      </c>
      <c r="D5" s="274">
        <f>'Summary Data'!S145</f>
        <v>21354.564632438065</v>
      </c>
      <c r="E5" s="274">
        <f>'Summary Data'!T145</f>
        <v>15060.847766152361</v>
      </c>
      <c r="F5" s="274">
        <f>'Summary Data'!U145</f>
        <v>15060.847766152361</v>
      </c>
      <c r="G5" s="274">
        <f>'Summary Data'!V145</f>
        <v>15060.847766152361</v>
      </c>
      <c r="H5" s="274">
        <f>'Summary Data'!W145</f>
        <v>15060.847766152361</v>
      </c>
      <c r="I5" s="274">
        <f>'Summary Data'!X145</f>
        <v>15060.847766152361</v>
      </c>
      <c r="J5" s="341">
        <f>'Summary Data'!Y145</f>
        <v>4270.912926487613</v>
      </c>
      <c r="K5" s="274" t="str">
        <f>'Summary Data'!Z145</f>
        <v>remains static at 2010 level </v>
      </c>
    </row>
    <row r="6" spans="3:11" ht="15">
      <c r="C6" s="280"/>
      <c r="D6" s="279"/>
      <c r="E6" s="279"/>
      <c r="F6" s="279"/>
      <c r="G6" s="279"/>
      <c r="H6" s="279"/>
      <c r="I6" s="279"/>
      <c r="J6" s="279"/>
      <c r="K6" s="279"/>
    </row>
    <row r="7" spans="3:11" ht="15">
      <c r="C7" s="280"/>
      <c r="D7" s="279"/>
      <c r="E7" s="279"/>
      <c r="F7" s="279"/>
      <c r="G7" s="279"/>
      <c r="H7" s="279"/>
      <c r="I7" s="279"/>
      <c r="J7" s="279"/>
      <c r="K7" s="279"/>
    </row>
    <row r="8" spans="3:11" ht="60">
      <c r="C8" s="280" t="s">
        <v>257</v>
      </c>
      <c r="D8" s="279">
        <v>0</v>
      </c>
      <c r="E8" s="279">
        <v>0</v>
      </c>
      <c r="F8" s="279">
        <v>0</v>
      </c>
      <c r="G8" s="279">
        <f>(E23*0.3)</f>
        <v>2665.7700546089677</v>
      </c>
      <c r="H8" s="279">
        <f>G8</f>
        <v>2665.7700546089677</v>
      </c>
      <c r="I8" s="279">
        <f>H8</f>
        <v>2665.7700546089677</v>
      </c>
      <c r="J8" s="279"/>
      <c r="K8" s="279"/>
    </row>
    <row r="9" spans="3:11" ht="30.75" thickBot="1">
      <c r="C9" s="280" t="s">
        <v>230</v>
      </c>
      <c r="D9" s="279"/>
      <c r="E9" s="279"/>
      <c r="F9" s="279">
        <f>(0.5*E24)</f>
        <v>3087.473792061234</v>
      </c>
      <c r="G9" s="274">
        <f>E24</f>
        <v>6174.947584122468</v>
      </c>
      <c r="H9" s="274">
        <f>E24</f>
        <v>6174.947584122468</v>
      </c>
      <c r="I9" s="274">
        <f>H9</f>
        <v>6174.947584122468</v>
      </c>
      <c r="J9" s="279"/>
      <c r="K9" s="279"/>
    </row>
    <row r="10" spans="3:16" ht="39" thickBot="1">
      <c r="C10" s="255" t="s">
        <v>175</v>
      </c>
      <c r="D10" s="279">
        <f aca="true" t="shared" si="0" ref="D10:I10">SUM(D8:D9)</f>
        <v>0</v>
      </c>
      <c r="E10" s="279">
        <f t="shared" si="0"/>
        <v>0</v>
      </c>
      <c r="F10" s="279">
        <f>SUM(F8:F9)</f>
        <v>3087.473792061234</v>
      </c>
      <c r="G10" s="279">
        <f t="shared" si="0"/>
        <v>8840.717638731436</v>
      </c>
      <c r="H10" s="279">
        <f t="shared" si="0"/>
        <v>8840.717638731436</v>
      </c>
      <c r="I10" s="279">
        <f t="shared" si="0"/>
        <v>8840.717638731436</v>
      </c>
      <c r="J10" s="279"/>
      <c r="K10" s="279"/>
      <c r="L10" s="343" t="s">
        <v>194</v>
      </c>
      <c r="M10" s="344"/>
      <c r="N10" s="349" t="s">
        <v>192</v>
      </c>
      <c r="O10" s="345" t="s">
        <v>193</v>
      </c>
      <c r="P10" s="350"/>
    </row>
    <row r="11" spans="3:15" ht="32.25" thickBot="1">
      <c r="C11" s="282" t="s">
        <v>161</v>
      </c>
      <c r="D11" s="281">
        <f aca="true" t="shared" si="1" ref="D11:I11">D5-D10</f>
        <v>21354.564632438065</v>
      </c>
      <c r="E11" s="281">
        <f t="shared" si="1"/>
        <v>15060.847766152361</v>
      </c>
      <c r="F11" s="281">
        <f t="shared" si="1"/>
        <v>11973.373974091128</v>
      </c>
      <c r="G11" s="281">
        <f>G5-G10</f>
        <v>6220.130127420925</v>
      </c>
      <c r="H11" s="281">
        <f t="shared" si="1"/>
        <v>6220.130127420925</v>
      </c>
      <c r="I11" s="281">
        <f t="shared" si="1"/>
        <v>6220.130127420925</v>
      </c>
      <c r="J11" s="279"/>
      <c r="K11" s="279"/>
      <c r="L11" s="346" t="s">
        <v>191</v>
      </c>
      <c r="M11" s="347"/>
      <c r="N11" s="348">
        <f>D11-I11</f>
        <v>15134.43450501714</v>
      </c>
      <c r="O11" s="351">
        <f>N11/D11</f>
        <v>0.7087212858475977</v>
      </c>
    </row>
    <row r="12" ht="12.75"/>
    <row r="13" ht="12.75"/>
    <row r="14" ht="13.5" thickBot="1"/>
    <row r="15" spans="3:6" ht="12.75">
      <c r="C15" s="677"/>
      <c r="D15" s="678"/>
      <c r="E15" s="678"/>
      <c r="F15" s="679"/>
    </row>
    <row r="16" spans="3:6" ht="12.75">
      <c r="C16" s="680"/>
      <c r="D16" s="681"/>
      <c r="E16" s="681"/>
      <c r="F16" s="682"/>
    </row>
    <row r="17" spans="3:6" ht="12.75">
      <c r="C17" s="680"/>
      <c r="D17" s="681"/>
      <c r="E17" s="681"/>
      <c r="F17" s="682"/>
    </row>
    <row r="18" spans="3:6" ht="12.75">
      <c r="C18" s="680"/>
      <c r="D18" s="681"/>
      <c r="E18" s="681"/>
      <c r="F18" s="682"/>
    </row>
    <row r="19" spans="3:6" ht="13.5" thickBot="1">
      <c r="C19" s="683"/>
      <c r="D19" s="684"/>
      <c r="E19" s="684"/>
      <c r="F19" s="672"/>
    </row>
    <row r="20" ht="12.75"/>
    <row r="21" ht="12.75"/>
    <row r="22" ht="12.75">
      <c r="E22" t="s">
        <v>229</v>
      </c>
    </row>
    <row r="23" spans="3:5" ht="12.75">
      <c r="C23" s="164">
        <f>(('Summary Data'!W65+'Summary Data'!W66+'Summary Data'!W67+'Summary Data'!W68+'Summary Data'!W69)/15061)*100</f>
        <v>58.800627448376595</v>
      </c>
      <c r="D23" t="s">
        <v>227</v>
      </c>
      <c r="E23" s="63">
        <f>(E5*0.59)</f>
        <v>8885.900182029893</v>
      </c>
    </row>
    <row r="24" spans="3:5" ht="12.75">
      <c r="C24" s="55">
        <v>41</v>
      </c>
      <c r="D24" t="s">
        <v>228</v>
      </c>
      <c r="E24" s="63">
        <f>(E5*0.41)</f>
        <v>6174.947584122468</v>
      </c>
    </row>
    <row r="25" ht="12.75">
      <c r="K25" s="55"/>
    </row>
    <row r="26" ht="13.5" thickBot="1">
      <c r="K26" s="55"/>
    </row>
    <row r="27" spans="3:16" ht="16.5" thickBot="1">
      <c r="C27" s="421" t="s">
        <v>263</v>
      </c>
      <c r="D27" s="673" t="s">
        <v>264</v>
      </c>
      <c r="E27" s="674"/>
      <c r="F27" s="674"/>
      <c r="G27" s="668"/>
      <c r="H27" s="453"/>
      <c r="J27" s="111"/>
      <c r="K27" s="421" t="s">
        <v>263</v>
      </c>
      <c r="L27" s="673" t="s">
        <v>264</v>
      </c>
      <c r="M27" s="674"/>
      <c r="N27" s="674"/>
      <c r="O27" s="668"/>
      <c r="P27" s="453"/>
    </row>
    <row r="28" spans="3:16" ht="13.5" thickBot="1">
      <c r="C28" s="422"/>
      <c r="D28" s="454">
        <v>2010</v>
      </c>
      <c r="E28" s="423">
        <v>2020</v>
      </c>
      <c r="F28" s="423">
        <v>2030</v>
      </c>
      <c r="G28" s="423">
        <v>2040</v>
      </c>
      <c r="H28" s="423">
        <v>2050</v>
      </c>
      <c r="I28" s="535" t="s">
        <v>284</v>
      </c>
      <c r="J28" s="451"/>
      <c r="K28" s="422"/>
      <c r="L28" s="454">
        <v>2010</v>
      </c>
      <c r="M28" s="423">
        <v>2020</v>
      </c>
      <c r="N28" s="423">
        <v>2030</v>
      </c>
      <c r="O28" s="423">
        <v>2040</v>
      </c>
      <c r="P28" s="423">
        <v>2050</v>
      </c>
    </row>
    <row r="29" spans="3:19" ht="13.5" thickBot="1">
      <c r="C29" s="422" t="s">
        <v>278</v>
      </c>
      <c r="D29" s="455">
        <f>E29</f>
        <v>15060.847766152361</v>
      </c>
      <c r="E29" s="440">
        <v>15060.847766152361</v>
      </c>
      <c r="F29" s="440">
        <v>15060.847766152361</v>
      </c>
      <c r="G29" s="440">
        <v>15060.847766152361</v>
      </c>
      <c r="H29" s="440">
        <v>15060.847766152361</v>
      </c>
      <c r="I29" s="533"/>
      <c r="J29" s="451"/>
      <c r="K29" s="422" t="s">
        <v>278</v>
      </c>
      <c r="L29" s="455">
        <f>M29</f>
        <v>15060.847766152361</v>
      </c>
      <c r="M29" s="440">
        <v>15060.847766152361</v>
      </c>
      <c r="N29" s="440">
        <v>15060.847766152361</v>
      </c>
      <c r="O29" s="440">
        <v>15060.847766152361</v>
      </c>
      <c r="P29" s="440">
        <v>15060.847766152361</v>
      </c>
      <c r="Q29" s="635" t="s">
        <v>490</v>
      </c>
      <c r="S29" t="s">
        <v>491</v>
      </c>
    </row>
    <row r="30" spans="3:19" ht="26.25" thickBot="1">
      <c r="C30" s="424" t="s">
        <v>275</v>
      </c>
      <c r="D30" s="63">
        <f>E5</f>
        <v>15060.847766152361</v>
      </c>
      <c r="E30" s="425">
        <f>F5</f>
        <v>15060.847766152361</v>
      </c>
      <c r="F30" s="425">
        <f>(G5-G8)</f>
        <v>12395.077711543394</v>
      </c>
      <c r="G30" s="425">
        <f>(H5-H8)</f>
        <v>12395.077711543394</v>
      </c>
      <c r="H30" s="425">
        <f>(I5-I8)</f>
        <v>12395.077711543394</v>
      </c>
      <c r="I30" s="534">
        <v>4271</v>
      </c>
      <c r="J30" s="428"/>
      <c r="K30" s="424" t="s">
        <v>275</v>
      </c>
      <c r="L30" s="63">
        <f>(L29-D30)</f>
        <v>0</v>
      </c>
      <c r="M30" s="63">
        <f>(M29-E30)</f>
        <v>0</v>
      </c>
      <c r="N30" s="63">
        <f>(N29-F30)</f>
        <v>2665.7700546089673</v>
      </c>
      <c r="O30" s="63">
        <f>(O29-G30)</f>
        <v>2665.7700546089673</v>
      </c>
      <c r="P30" s="63">
        <f>(P29-H30)</f>
        <v>2665.7700546089673</v>
      </c>
      <c r="Q30" s="637">
        <f>SUM(L30:P30)</f>
        <v>7997.310163826902</v>
      </c>
      <c r="S30" s="63">
        <f>SUM(L30:P31)</f>
        <v>29609.626708255535</v>
      </c>
    </row>
    <row r="31" spans="3:17" ht="51.75" thickBot="1">
      <c r="C31" s="424" t="s">
        <v>276</v>
      </c>
      <c r="D31" s="63">
        <f>E5</f>
        <v>15060.847766152361</v>
      </c>
      <c r="E31" s="425">
        <f>(E30-F9)</f>
        <v>11973.373974091128</v>
      </c>
      <c r="F31" s="425">
        <f>(F30-G9)</f>
        <v>6220.130127420926</v>
      </c>
      <c r="G31" s="425">
        <f>(G30-H9)</f>
        <v>6220.130127420926</v>
      </c>
      <c r="H31" s="425">
        <f>(H30-I9)</f>
        <v>6220.130127420926</v>
      </c>
      <c r="I31" s="534">
        <v>4271</v>
      </c>
      <c r="K31" s="424" t="s">
        <v>276</v>
      </c>
      <c r="L31" s="63">
        <f>(D30-D31)</f>
        <v>0</v>
      </c>
      <c r="M31" s="63">
        <f>(E30-E31)</f>
        <v>3087.4737920612333</v>
      </c>
      <c r="N31" s="63">
        <f>(F30-F31)</f>
        <v>6174.947584122468</v>
      </c>
      <c r="O31" s="63">
        <f>(G30-G31)</f>
        <v>6174.947584122468</v>
      </c>
      <c r="P31" s="63">
        <f>(H30-H31)</f>
        <v>6174.947584122468</v>
      </c>
      <c r="Q31" s="637">
        <f>SUM(L31:P31)</f>
        <v>21612.316544428635</v>
      </c>
    </row>
    <row r="32" spans="3:16" ht="26.25" thickBot="1">
      <c r="C32" s="426" t="s">
        <v>265</v>
      </c>
      <c r="D32" s="456">
        <f>E32</f>
        <v>11973.373974091128</v>
      </c>
      <c r="E32" s="427">
        <f>E31</f>
        <v>11973.373974091128</v>
      </c>
      <c r="F32" s="427">
        <f>F31</f>
        <v>6220.130127420926</v>
      </c>
      <c r="G32" s="427">
        <f>G31</f>
        <v>6220.130127420926</v>
      </c>
      <c r="H32" s="427">
        <f>H31</f>
        <v>6220.130127420926</v>
      </c>
      <c r="I32" s="534">
        <v>4271</v>
      </c>
      <c r="K32" s="426" t="s">
        <v>265</v>
      </c>
      <c r="L32" s="456">
        <f>M32</f>
        <v>3087.4737920612333</v>
      </c>
      <c r="M32" s="427">
        <f>M31</f>
        <v>3087.4737920612333</v>
      </c>
      <c r="N32" s="427">
        <f>N31</f>
        <v>6174.947584122468</v>
      </c>
      <c r="O32" s="427">
        <f>O31</f>
        <v>6174.947584122468</v>
      </c>
      <c r="P32" s="427">
        <f>P31</f>
        <v>6174.947584122468</v>
      </c>
    </row>
    <row r="33" spans="9:11" ht="12.75">
      <c r="I33" s="534">
        <v>4271</v>
      </c>
      <c r="K33" s="55"/>
    </row>
    <row r="34" spans="2:41" ht="12.75">
      <c r="B34" s="20"/>
      <c r="C34" s="62"/>
      <c r="D34" s="20"/>
      <c r="E34" s="20"/>
      <c r="F34" s="20"/>
      <c r="G34" s="20"/>
      <c r="H34" s="20"/>
      <c r="I34" s="534">
        <v>4271</v>
      </c>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row>
    <row r="35" spans="2:41" ht="12.75">
      <c r="B35" s="20"/>
      <c r="C35" s="62"/>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row>
    <row r="36" spans="2:41" s="111" customFormat="1" ht="39" customHeight="1">
      <c r="B36" s="6"/>
      <c r="C36" s="442"/>
      <c r="D36" s="669"/>
      <c r="E36" s="669"/>
      <c r="F36" s="669"/>
      <c r="G36" s="669"/>
      <c r="H36" s="436"/>
      <c r="I36" s="6"/>
      <c r="J36" s="6"/>
      <c r="K36" s="6"/>
      <c r="L36" s="442"/>
      <c r="M36" s="669"/>
      <c r="N36" s="669"/>
      <c r="O36" s="669"/>
      <c r="P36" s="669"/>
      <c r="Q36" s="436"/>
      <c r="R36" s="6"/>
      <c r="S36" s="6"/>
      <c r="T36" s="6"/>
      <c r="U36" s="6"/>
      <c r="V36" s="6"/>
      <c r="W36" s="6"/>
      <c r="X36" s="6"/>
      <c r="Y36" s="6"/>
      <c r="Z36" s="6"/>
      <c r="AA36" s="6"/>
      <c r="AB36" s="6"/>
      <c r="AC36" s="6"/>
      <c r="AD36" s="6"/>
      <c r="AE36" s="6"/>
      <c r="AF36" s="6"/>
      <c r="AG36" s="6"/>
      <c r="AH36" s="6"/>
      <c r="AI36" s="6"/>
      <c r="AJ36" s="6"/>
      <c r="AK36" s="6"/>
      <c r="AL36" s="6"/>
      <c r="AM36" s="6"/>
      <c r="AN36" s="6"/>
      <c r="AO36" s="6"/>
    </row>
    <row r="37" spans="2:41" s="111" customFormat="1" ht="15.75">
      <c r="B37" s="6"/>
      <c r="C37" s="443"/>
      <c r="D37" s="444"/>
      <c r="E37" s="444"/>
      <c r="F37" s="444"/>
      <c r="G37" s="444"/>
      <c r="H37" s="444"/>
      <c r="I37" s="6"/>
      <c r="J37" s="6"/>
      <c r="K37" s="6"/>
      <c r="L37" s="443"/>
      <c r="M37" s="444"/>
      <c r="N37" s="444"/>
      <c r="O37" s="444"/>
      <c r="P37" s="444"/>
      <c r="Q37" s="444"/>
      <c r="R37" s="6"/>
      <c r="S37" s="6"/>
      <c r="T37" s="6"/>
      <c r="U37" s="6"/>
      <c r="V37" s="6"/>
      <c r="W37" s="6"/>
      <c r="X37" s="6"/>
      <c r="Y37" s="6"/>
      <c r="Z37" s="6"/>
      <c r="AA37" s="6"/>
      <c r="AB37" s="6"/>
      <c r="AC37" s="6"/>
      <c r="AD37" s="6"/>
      <c r="AE37" s="6"/>
      <c r="AF37" s="6"/>
      <c r="AG37" s="6"/>
      <c r="AH37" s="6"/>
      <c r="AI37" s="6"/>
      <c r="AJ37" s="6"/>
      <c r="AK37" s="6"/>
      <c r="AL37" s="6"/>
      <c r="AM37" s="6"/>
      <c r="AN37" s="6"/>
      <c r="AO37" s="6"/>
    </row>
    <row r="38" spans="2:41" s="111" customFormat="1" ht="15">
      <c r="B38" s="6"/>
      <c r="C38" s="445"/>
      <c r="D38" s="446"/>
      <c r="E38" s="446"/>
      <c r="F38" s="446"/>
      <c r="G38" s="446"/>
      <c r="H38" s="446"/>
      <c r="I38" s="6"/>
      <c r="J38" s="6"/>
      <c r="K38" s="6"/>
      <c r="L38" s="445"/>
      <c r="M38" s="446"/>
      <c r="N38" s="446"/>
      <c r="O38" s="446"/>
      <c r="P38" s="446"/>
      <c r="Q38" s="446"/>
      <c r="R38" s="6"/>
      <c r="S38" s="6"/>
      <c r="T38" s="6"/>
      <c r="U38" s="6"/>
      <c r="V38" s="6"/>
      <c r="W38" s="6"/>
      <c r="X38" s="6"/>
      <c r="Y38" s="6"/>
      <c r="Z38" s="6"/>
      <c r="AA38" s="6"/>
      <c r="AB38" s="6"/>
      <c r="AC38" s="6"/>
      <c r="AD38" s="6"/>
      <c r="AE38" s="6"/>
      <c r="AF38" s="6"/>
      <c r="AG38" s="6"/>
      <c r="AH38" s="6"/>
      <c r="AI38" s="6"/>
      <c r="AJ38" s="6"/>
      <c r="AK38" s="6"/>
      <c r="AL38" s="6"/>
      <c r="AM38" s="6"/>
      <c r="AN38" s="6"/>
      <c r="AO38" s="6"/>
    </row>
    <row r="39" spans="2:41" s="111" customFormat="1" ht="12.75">
      <c r="B39" s="6"/>
      <c r="C39" s="437"/>
      <c r="D39" s="6"/>
      <c r="E39" s="6"/>
      <c r="F39" s="6"/>
      <c r="G39" s="6"/>
      <c r="H39" s="6"/>
      <c r="I39" s="6"/>
      <c r="J39" s="6"/>
      <c r="K39" s="6"/>
      <c r="L39" s="437"/>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row>
    <row r="40" spans="2:42" s="111" customFormat="1" ht="54.75" customHeight="1">
      <c r="B40" s="6"/>
      <c r="C40" s="445"/>
      <c r="D40" s="447"/>
      <c r="E40" s="447"/>
      <c r="F40" s="447"/>
      <c r="G40" s="447"/>
      <c r="H40" s="447"/>
      <c r="I40" s="6"/>
      <c r="J40" s="6"/>
      <c r="K40" s="6"/>
      <c r="L40" s="445"/>
      <c r="M40" s="447"/>
      <c r="N40" s="447"/>
      <c r="O40" s="447"/>
      <c r="P40" s="447"/>
      <c r="Q40" s="447"/>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2:42" s="111" customFormat="1" ht="36" customHeight="1">
      <c r="B41" s="6"/>
      <c r="C41" s="445"/>
      <c r="D41" s="447"/>
      <c r="E41" s="447"/>
      <c r="F41" s="447"/>
      <c r="G41" s="447"/>
      <c r="H41" s="447"/>
      <c r="I41" s="6"/>
      <c r="J41" s="6"/>
      <c r="K41" s="6"/>
      <c r="L41" s="445"/>
      <c r="M41" s="447"/>
      <c r="N41" s="447"/>
      <c r="O41" s="447"/>
      <c r="P41" s="447"/>
      <c r="Q41" s="447"/>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2:42" s="111" customFormat="1" ht="36" customHeight="1">
      <c r="B42" s="6"/>
      <c r="C42" s="445"/>
      <c r="D42" s="447"/>
      <c r="E42" s="438"/>
      <c r="F42" s="448"/>
      <c r="G42" s="448"/>
      <c r="H42" s="448"/>
      <c r="I42" s="6"/>
      <c r="J42" s="6"/>
      <c r="K42" s="6"/>
      <c r="L42" s="445"/>
      <c r="M42" s="447"/>
      <c r="N42" s="438"/>
      <c r="O42" s="448"/>
      <c r="P42" s="448"/>
      <c r="Q42" s="448"/>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2:42" s="111" customFormat="1" ht="75.75" customHeight="1">
      <c r="B43" s="6"/>
      <c r="C43" s="445"/>
      <c r="D43" s="447"/>
      <c r="E43" s="449"/>
      <c r="F43" s="448"/>
      <c r="G43" s="448"/>
      <c r="H43" s="448"/>
      <c r="I43" s="6"/>
      <c r="J43" s="6"/>
      <c r="K43" s="6"/>
      <c r="L43" s="445"/>
      <c r="M43" s="447"/>
      <c r="N43" s="449"/>
      <c r="O43" s="448"/>
      <c r="P43" s="448"/>
      <c r="Q43" s="448"/>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2:42" s="111" customFormat="1" ht="41.25" customHeight="1">
      <c r="B44" s="6"/>
      <c r="C44" s="445"/>
      <c r="D44" s="447"/>
      <c r="E44" s="447"/>
      <c r="F44" s="447"/>
      <c r="G44" s="447"/>
      <c r="H44" s="447"/>
      <c r="I44" s="6"/>
      <c r="J44" s="6"/>
      <c r="K44" s="6"/>
      <c r="L44" s="445"/>
      <c r="M44" s="447"/>
      <c r="N44" s="447"/>
      <c r="O44" s="447"/>
      <c r="P44" s="447"/>
      <c r="Q44" s="447"/>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2:42" s="111" customFormat="1" ht="26.25" customHeight="1">
      <c r="B45" s="6"/>
      <c r="C45" s="445"/>
      <c r="D45" s="445"/>
      <c r="E45" s="445"/>
      <c r="F45" s="445"/>
      <c r="G45" s="445"/>
      <c r="H45" s="445"/>
      <c r="I45" s="450"/>
      <c r="J45" s="6"/>
      <c r="K45" s="6"/>
      <c r="L45" s="445"/>
      <c r="M45" s="445"/>
      <c r="N45" s="445"/>
      <c r="O45" s="445"/>
      <c r="P45" s="445"/>
      <c r="Q45" s="445"/>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2:42" ht="12.75">
      <c r="B46" s="20"/>
      <c r="C46" s="62"/>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row>
    <row r="47" spans="2:42" ht="12.75">
      <c r="B47" s="20"/>
      <c r="C47" s="62"/>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row>
    <row r="48" spans="2:42" ht="12.75">
      <c r="B48" s="20"/>
      <c r="C48" s="62"/>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row>
    <row r="49" spans="2:42" ht="12.75">
      <c r="B49" s="20"/>
      <c r="C49" s="62"/>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2:42" ht="12.75">
      <c r="B50" s="20"/>
      <c r="C50" s="62"/>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row>
    <row r="51" spans="2:42" ht="12.75">
      <c r="B51" s="20"/>
      <c r="C51" s="62"/>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row>
    <row r="52" spans="2:42" ht="12.75">
      <c r="B52" s="20"/>
      <c r="C52" s="62"/>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row>
    <row r="53" spans="2:42" ht="12.75">
      <c r="B53" s="20"/>
      <c r="C53" s="62"/>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row>
    <row r="54" spans="2:42" ht="12.75">
      <c r="B54" s="20"/>
      <c r="C54" s="62"/>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row>
    <row r="55" spans="2:42" ht="12.75">
      <c r="B55" s="20"/>
      <c r="C55" s="62"/>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row>
    <row r="56" spans="2:42" ht="12.75">
      <c r="B56" s="20"/>
      <c r="C56" s="62"/>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row>
    <row r="57" spans="2:42" ht="12.75">
      <c r="B57" s="20"/>
      <c r="C57" s="62"/>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row>
    <row r="58" spans="2:42" ht="12.75">
      <c r="B58" s="20"/>
      <c r="C58" s="62"/>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row>
    <row r="59" spans="2:42" ht="12.75">
      <c r="B59" s="20"/>
      <c r="C59" s="62"/>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row>
    <row r="60" spans="2:42" ht="12.75">
      <c r="B60" s="20"/>
      <c r="C60" s="62"/>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row>
    <row r="61" spans="2:42" ht="12.75">
      <c r="B61" s="20"/>
      <c r="C61" s="62"/>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row>
    <row r="62" spans="2:42" ht="12.75">
      <c r="B62" s="20"/>
      <c r="C62" s="62"/>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row>
    <row r="63" spans="2:42" ht="12.75">
      <c r="B63" s="20"/>
      <c r="C63" s="62"/>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row>
    <row r="64" spans="2:42" ht="12.75">
      <c r="B64" s="20"/>
      <c r="C64" s="62"/>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row>
    <row r="65" spans="2:42" ht="12.75">
      <c r="B65" s="20"/>
      <c r="C65" s="62"/>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row>
    <row r="66" spans="2:42" ht="12.75">
      <c r="B66" s="20"/>
      <c r="C66" s="62"/>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row>
    <row r="67" spans="2:42" ht="12.75">
      <c r="B67" s="20"/>
      <c r="C67" s="62"/>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row>
    <row r="68" spans="2:42" ht="12.75">
      <c r="B68" s="20"/>
      <c r="C68" s="62"/>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row>
    <row r="69" spans="2:42" ht="12.75">
      <c r="B69" s="20"/>
      <c r="C69" s="62"/>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row>
    <row r="70" spans="2:42" ht="12.75">
      <c r="B70" s="20"/>
      <c r="C70" s="62"/>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row>
    <row r="71" spans="2:42" ht="12.75">
      <c r="B71" s="20"/>
      <c r="C71" s="62"/>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row>
    <row r="72" spans="2:42" ht="12.75">
      <c r="B72" s="20"/>
      <c r="C72" s="62"/>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row>
    <row r="73" spans="2:42" ht="12.75">
      <c r="B73" s="20"/>
      <c r="C73" s="62"/>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row>
    <row r="74" spans="2:42" ht="12.75">
      <c r="B74" s="20"/>
      <c r="C74" s="62"/>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row>
    <row r="75" spans="2:42" ht="12.75">
      <c r="B75" s="20"/>
      <c r="C75" s="62"/>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row>
    <row r="76" spans="2:42" ht="12.75">
      <c r="B76" s="20"/>
      <c r="C76" s="62"/>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row>
    <row r="77" spans="2:42" ht="12.75">
      <c r="B77" s="20"/>
      <c r="C77" s="62"/>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row>
    <row r="78" spans="2:42" ht="12.75">
      <c r="B78" s="20"/>
      <c r="C78" s="62"/>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row>
    <row r="79" spans="2:42" ht="12.75">
      <c r="B79" s="20"/>
      <c r="C79" s="62"/>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row>
    <row r="80" spans="2:42" ht="12.75">
      <c r="B80" s="20"/>
      <c r="C80" s="62"/>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row>
    <row r="81" spans="2:42" ht="12.75">
      <c r="B81" s="20"/>
      <c r="C81" s="62"/>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row>
    <row r="82" spans="2:42" ht="12.75">
      <c r="B82" s="20"/>
      <c r="C82" s="62"/>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row>
    <row r="83" spans="2:42" ht="12.75">
      <c r="B83" s="20"/>
      <c r="C83" s="62"/>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row>
    <row r="84" spans="2:42" ht="12.75">
      <c r="B84" s="20"/>
      <c r="C84" s="62"/>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row>
    <row r="85" spans="2:42" ht="12.75">
      <c r="B85" s="20"/>
      <c r="C85" s="62"/>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row>
    <row r="86" spans="2:42" ht="12.75">
      <c r="B86" s="20"/>
      <c r="C86" s="62"/>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row>
    <row r="87" spans="2:42" ht="12.75">
      <c r="B87" s="20"/>
      <c r="C87" s="62"/>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row>
    <row r="88" spans="2:42" ht="12.75">
      <c r="B88" s="20"/>
      <c r="C88" s="62"/>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row>
    <row r="89" spans="2:42" ht="12.75">
      <c r="B89" s="20"/>
      <c r="C89" s="62"/>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row>
    <row r="90" spans="2:42" ht="12.75">
      <c r="B90" s="20"/>
      <c r="C90" s="62"/>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row>
    <row r="91" spans="2:42" ht="12.75">
      <c r="B91" s="20"/>
      <c r="C91" s="62"/>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row>
    <row r="92" spans="2:42" ht="12.75">
      <c r="B92" s="20"/>
      <c r="C92" s="62"/>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row>
    <row r="93" spans="2:42" ht="12.75">
      <c r="B93" s="20"/>
      <c r="C93" s="62"/>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row>
    <row r="94" spans="2:42" ht="12.75">
      <c r="B94" s="20"/>
      <c r="C94" s="62"/>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row>
    <row r="95" spans="2:42" ht="12.75">
      <c r="B95" s="20"/>
      <c r="C95" s="62"/>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row>
    <row r="96" spans="2:42" ht="12.75">
      <c r="B96" s="20"/>
      <c r="C96" s="62"/>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row>
    <row r="97" spans="2:42" ht="12.75">
      <c r="B97" s="20"/>
      <c r="C97" s="62"/>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row>
    <row r="98" spans="2:42" ht="12.75">
      <c r="B98" s="20"/>
      <c r="C98" s="62"/>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row>
    <row r="99" spans="2:42" ht="12.75">
      <c r="B99" s="20"/>
      <c r="C99" s="62"/>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row>
    <row r="100" spans="2:42" ht="12.75">
      <c r="B100" s="20"/>
      <c r="C100" s="62"/>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row>
  </sheetData>
  <mergeCells count="5">
    <mergeCell ref="C15:F19"/>
    <mergeCell ref="D27:G27"/>
    <mergeCell ref="D36:G36"/>
    <mergeCell ref="M36:P36"/>
    <mergeCell ref="L27:O27"/>
  </mergeCells>
  <conditionalFormatting sqref="O11">
    <cfRule type="cellIs" priority="1" dxfId="0" operator="lessThan" stopIfTrue="1">
      <formula>$N$4</formula>
    </cfRule>
    <cfRule type="cellIs" priority="2" dxfId="1" operator="greaterThan" stopIfTrue="1">
      <formula>$N$4</formula>
    </cfRule>
  </conditionalFormatting>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R68"/>
  <sheetViews>
    <sheetView zoomScale="120" zoomScaleNormal="120" workbookViewId="0" topLeftCell="B46">
      <selection activeCell="K68" sqref="K68"/>
    </sheetView>
  </sheetViews>
  <sheetFormatPr defaultColWidth="9.140625" defaultRowHeight="12.75"/>
  <cols>
    <col min="2" max="2" width="41.7109375" style="0" customWidth="1"/>
    <col min="3" max="3" width="15.140625" style="0" customWidth="1"/>
    <col min="4" max="4" width="16.28125" style="0" customWidth="1"/>
    <col min="5" max="5" width="15.28125" style="0" customWidth="1"/>
    <col min="6" max="6" width="12.8515625" style="0" customWidth="1"/>
    <col min="7" max="7" width="13.57421875" style="0" customWidth="1"/>
    <col min="8" max="8" width="11.7109375" style="0" bestFit="1" customWidth="1"/>
    <col min="10" max="10" width="19.140625" style="0" customWidth="1"/>
    <col min="11" max="11" width="40.421875" style="0" bestFit="1" customWidth="1"/>
    <col min="13" max="13" width="20.8515625" style="0" customWidth="1"/>
  </cols>
  <sheetData>
    <row r="1" spans="1:10" ht="13.5" thickBot="1">
      <c r="A1" s="55"/>
      <c r="B1" s="182" t="s">
        <v>105</v>
      </c>
      <c r="C1" s="670"/>
      <c r="D1" s="670"/>
      <c r="E1" s="670"/>
      <c r="F1" s="670"/>
      <c r="G1" s="670"/>
      <c r="H1" s="670"/>
      <c r="I1" s="670"/>
      <c r="J1" s="55"/>
    </row>
    <row r="2" spans="1:10" ht="52.5" thickBot="1" thickTop="1">
      <c r="A2" s="182"/>
      <c r="B2" s="183" t="s">
        <v>59</v>
      </c>
      <c r="C2" s="205" t="s">
        <v>66</v>
      </c>
      <c r="D2" s="188" t="s">
        <v>90</v>
      </c>
      <c r="E2" s="188">
        <v>2020</v>
      </c>
      <c r="F2" s="188">
        <v>2030</v>
      </c>
      <c r="G2" s="188">
        <v>2040</v>
      </c>
      <c r="H2" s="188">
        <v>2050</v>
      </c>
      <c r="I2" s="188" t="s">
        <v>106</v>
      </c>
      <c r="J2" s="55" t="s">
        <v>99</v>
      </c>
    </row>
    <row r="3" spans="1:10" ht="14.25" thickBot="1" thickTop="1">
      <c r="A3" s="190" t="s">
        <v>3</v>
      </c>
      <c r="B3" s="200" t="s">
        <v>36</v>
      </c>
      <c r="C3" s="201">
        <v>122564.88142085136</v>
      </c>
      <c r="D3" s="204">
        <v>122163.61627276035</v>
      </c>
      <c r="E3" s="203">
        <f>D3</f>
        <v>122163.61627276035</v>
      </c>
      <c r="F3" s="203">
        <f>(D3)-(0.01*D3)</f>
        <v>120941.98011003275</v>
      </c>
      <c r="G3" s="201">
        <f>(E3)-(0.04*E3)</f>
        <v>117277.07162184994</v>
      </c>
      <c r="H3" s="204">
        <f>(F3)-(0.06*F3)</f>
        <v>113685.46130343078</v>
      </c>
      <c r="I3" s="202">
        <f>C3*0.2</f>
        <v>24512.976284170276</v>
      </c>
      <c r="J3" t="s">
        <v>107</v>
      </c>
    </row>
    <row r="4" spans="1:9" ht="14.25" thickBot="1" thickTop="1">
      <c r="A4" s="20"/>
      <c r="B4" s="600" t="s">
        <v>438</v>
      </c>
      <c r="C4" s="157"/>
      <c r="D4" s="157">
        <f>(0.81*D3)</f>
        <v>98952.52918093589</v>
      </c>
      <c r="E4" s="157">
        <f>(0.81*E3)</f>
        <v>98952.52918093589</v>
      </c>
      <c r="F4" s="157">
        <f>(0.81*F3)</f>
        <v>97963.00388912653</v>
      </c>
      <c r="G4" s="157">
        <f>(0.81*G3)</f>
        <v>94994.42801369846</v>
      </c>
      <c r="H4" s="157">
        <f>(0.81*H3)</f>
        <v>92085.22365577894</v>
      </c>
      <c r="I4" s="364"/>
    </row>
    <row r="5" spans="2:13" ht="39" thickTop="1">
      <c r="B5" s="212" t="s">
        <v>442</v>
      </c>
      <c r="C5" s="217"/>
      <c r="D5" s="596">
        <f>D4</f>
        <v>98952.52918093589</v>
      </c>
      <c r="E5" s="597">
        <f>E4-((0.68*E4)*0.11)</f>
        <v>91550.87999820188</v>
      </c>
      <c r="F5" s="597">
        <f>F4-((0.68*F4)*0.11)</f>
        <v>90635.37119821986</v>
      </c>
      <c r="G5" s="597">
        <f>G4-((0.68*G4)*0.11)</f>
        <v>87888.84479827381</v>
      </c>
      <c r="H5" s="597">
        <f>H4-((0.68*H4)*0.11)</f>
        <v>85197.24892632668</v>
      </c>
      <c r="I5" s="214"/>
      <c r="J5" s="430"/>
      <c r="M5" s="342">
        <v>0</v>
      </c>
    </row>
    <row r="6" spans="2:10" ht="12.75">
      <c r="B6" s="213" t="s">
        <v>431</v>
      </c>
      <c r="C6" s="218"/>
      <c r="D6" s="594">
        <f>D5</f>
        <v>98952.52918093589</v>
      </c>
      <c r="E6" s="595">
        <f>(E5-(0.05*E5))</f>
        <v>86973.33599829179</v>
      </c>
      <c r="F6" s="595">
        <f>(F5-(0.05*F5))</f>
        <v>86103.60263830886</v>
      </c>
      <c r="G6" s="595">
        <f>(G5-(0.05*G5))</f>
        <v>83494.40255836012</v>
      </c>
      <c r="H6" s="595">
        <f>(H5-(0.05*H5))</f>
        <v>80937.38648001035</v>
      </c>
      <c r="I6" s="189"/>
      <c r="J6" s="430" t="s">
        <v>422</v>
      </c>
    </row>
    <row r="7" spans="2:10" ht="26.25" thickBot="1">
      <c r="B7" s="213" t="s">
        <v>430</v>
      </c>
      <c r="C7" s="218"/>
      <c r="D7" s="231">
        <f>D6</f>
        <v>98952.52918093589</v>
      </c>
      <c r="E7" s="593">
        <f>E6-(E6*0.1)</f>
        <v>78276.00239846262</v>
      </c>
      <c r="F7" s="593">
        <f>F6-(F6*0.3)</f>
        <v>60272.521846816206</v>
      </c>
      <c r="G7" s="598">
        <f>G6-(G6*0.6)</f>
        <v>33397.76102334405</v>
      </c>
      <c r="H7" s="231">
        <f>H6-(H6*0.9)</f>
        <v>8093.738648001032</v>
      </c>
      <c r="I7" s="189"/>
      <c r="J7" s="145" t="s">
        <v>423</v>
      </c>
    </row>
    <row r="8" spans="2:14" ht="38.25">
      <c r="B8" s="213" t="s">
        <v>443</v>
      </c>
      <c r="C8" s="218"/>
      <c r="D8" s="189">
        <f>D7</f>
        <v>98952.52918093589</v>
      </c>
      <c r="E8" s="593">
        <f>E7-$H$45</f>
        <v>77660.11439846261</v>
      </c>
      <c r="F8" s="593">
        <f>F7-$H$45</f>
        <v>59656.63384681621</v>
      </c>
      <c r="G8" s="593">
        <f>G7-$H$45</f>
        <v>32781.87302334405</v>
      </c>
      <c r="H8" s="595">
        <f>H7-$H$45</f>
        <v>7477.850648001032</v>
      </c>
      <c r="I8" s="189"/>
      <c r="K8" s="343" t="s">
        <v>194</v>
      </c>
      <c r="L8" s="344"/>
      <c r="M8" s="349" t="s">
        <v>192</v>
      </c>
      <c r="N8" s="345" t="s">
        <v>193</v>
      </c>
    </row>
    <row r="9" spans="2:14" ht="26.25" thickBot="1">
      <c r="B9" s="602" t="s">
        <v>444</v>
      </c>
      <c r="C9" s="601"/>
      <c r="D9" s="601">
        <f>D3*$I$34</f>
        <v>15270.452034095044</v>
      </c>
      <c r="E9" s="601">
        <f>E3*$I$34</f>
        <v>15270.452034095044</v>
      </c>
      <c r="F9" s="601">
        <f>F3*$I$34</f>
        <v>15117.747513754093</v>
      </c>
      <c r="G9" s="601">
        <f>G3*$I$34</f>
        <v>14659.633952731243</v>
      </c>
      <c r="H9" s="601">
        <f>H3*$I$34</f>
        <v>14210.682662928848</v>
      </c>
      <c r="I9" s="189"/>
      <c r="K9" s="599"/>
      <c r="L9" s="198"/>
      <c r="M9" s="603">
        <f>C3-H12</f>
        <v>95760.50235126712</v>
      </c>
      <c r="N9" s="351">
        <f>M9/C12</f>
        <v>0.7813045730648898</v>
      </c>
    </row>
    <row r="10" spans="2:10" ht="38.25">
      <c r="B10" s="604" t="s">
        <v>432</v>
      </c>
      <c r="C10" s="605"/>
      <c r="D10" s="594">
        <f>D9</f>
        <v>15270.452034095044</v>
      </c>
      <c r="E10" s="595">
        <f>H29</f>
        <v>12827.179708639836</v>
      </c>
      <c r="F10" s="595">
        <f>H30</f>
        <v>12698.907911553439</v>
      </c>
      <c r="G10" s="605">
        <f>H31</f>
        <v>12314.092520294244</v>
      </c>
      <c r="H10" s="594">
        <f>H32</f>
        <v>11936.973436860233</v>
      </c>
      <c r="I10" s="189"/>
      <c r="J10" s="430"/>
    </row>
    <row r="11" spans="2:10" ht="25.5">
      <c r="B11" s="606" t="s">
        <v>446</v>
      </c>
      <c r="C11" s="607"/>
      <c r="D11" s="608">
        <f>(D3-(D4+D9))</f>
        <v>7940.6350577294215</v>
      </c>
      <c r="E11" s="608">
        <f>(E3-(E4+E9))</f>
        <v>7940.6350577294215</v>
      </c>
      <c r="F11" s="608">
        <f>(F3-(F4+F9))</f>
        <v>7861.228707152128</v>
      </c>
      <c r="G11" s="608">
        <f>(G3-(G4+G9))</f>
        <v>7623.009655420246</v>
      </c>
      <c r="H11" s="608">
        <f>(H3-(H4+H9))</f>
        <v>7389.554984722985</v>
      </c>
      <c r="I11" s="189"/>
      <c r="J11" s="430"/>
    </row>
    <row r="12" spans="2:10" ht="26.25" thickBot="1">
      <c r="B12" s="249" t="s">
        <v>161</v>
      </c>
      <c r="C12" s="250">
        <f>C3</f>
        <v>122564.88142085136</v>
      </c>
      <c r="D12" s="250">
        <f>D8+D10+D11</f>
        <v>122163.61627276035</v>
      </c>
      <c r="E12" s="250">
        <f>E8+E10+E11</f>
        <v>98427.92916483186</v>
      </c>
      <c r="F12" s="250">
        <f>F8+F10+F11</f>
        <v>80216.77046552177</v>
      </c>
      <c r="G12" s="250">
        <f>G8+G10+G11</f>
        <v>52718.97519905854</v>
      </c>
      <c r="H12" s="250">
        <f>H8+H10+H11</f>
        <v>26804.37906958425</v>
      </c>
      <c r="I12" s="216"/>
      <c r="J12" s="145"/>
    </row>
    <row r="13" spans="2:4" ht="13.5" thickTop="1">
      <c r="B13" s="55"/>
      <c r="D13" s="63"/>
    </row>
    <row r="14" ht="12.75">
      <c r="B14" s="55"/>
    </row>
    <row r="15" spans="2:10" ht="12.75">
      <c r="B15" s="671" t="s">
        <v>453</v>
      </c>
      <c r="D15" s="686" t="s">
        <v>452</v>
      </c>
      <c r="E15" s="686"/>
      <c r="F15" s="686"/>
      <c r="G15" s="686"/>
      <c r="H15" s="686"/>
      <c r="I15" s="686"/>
      <c r="J15" s="686"/>
    </row>
    <row r="16" spans="2:10" ht="12.75" customHeight="1">
      <c r="B16" s="685"/>
      <c r="D16" s="686"/>
      <c r="E16" s="686"/>
      <c r="F16" s="686"/>
      <c r="G16" s="686"/>
      <c r="H16" s="686"/>
      <c r="I16" s="686"/>
      <c r="J16" s="686"/>
    </row>
    <row r="17" spans="2:10" ht="12.75">
      <c r="B17" s="685"/>
      <c r="C17" s="219"/>
      <c r="D17" s="686"/>
      <c r="E17" s="686"/>
      <c r="F17" s="686"/>
      <c r="G17" s="686"/>
      <c r="H17" s="686"/>
      <c r="I17" s="686"/>
      <c r="J17" s="686"/>
    </row>
    <row r="18" spans="2:10" ht="12.75">
      <c r="B18" s="685"/>
      <c r="D18" s="686"/>
      <c r="E18" s="686"/>
      <c r="F18" s="686"/>
      <c r="G18" s="686"/>
      <c r="H18" s="686"/>
      <c r="I18" s="686"/>
      <c r="J18" s="686"/>
    </row>
    <row r="19" spans="2:10" ht="12.75">
      <c r="B19" s="685"/>
      <c r="D19" s="686"/>
      <c r="E19" s="686"/>
      <c r="F19" s="686"/>
      <c r="G19" s="686"/>
      <c r="H19" s="686"/>
      <c r="I19" s="686"/>
      <c r="J19" s="686"/>
    </row>
    <row r="20" spans="2:10" ht="12.75">
      <c r="B20" s="685"/>
      <c r="D20" s="686"/>
      <c r="E20" s="686"/>
      <c r="F20" s="686"/>
      <c r="G20" s="686"/>
      <c r="H20" s="686"/>
      <c r="I20" s="686"/>
      <c r="J20" s="686"/>
    </row>
    <row r="21" spans="2:10" ht="12.75">
      <c r="B21" s="685"/>
      <c r="D21" s="686"/>
      <c r="E21" s="686"/>
      <c r="F21" s="686"/>
      <c r="G21" s="686"/>
      <c r="H21" s="686"/>
      <c r="I21" s="686"/>
      <c r="J21" s="686"/>
    </row>
    <row r="23" ht="13.5" thickBot="1"/>
    <row r="24" spans="1:14" ht="12.75">
      <c r="A24" s="206"/>
      <c r="B24" s="113"/>
      <c r="C24" s="113"/>
      <c r="D24" s="113"/>
      <c r="E24" s="207"/>
      <c r="F24" s="20"/>
      <c r="G24" s="618"/>
      <c r="H24" s="619"/>
      <c r="I24" s="619"/>
      <c r="J24" s="619"/>
      <c r="K24" s="620"/>
      <c r="L24" s="211"/>
      <c r="M24" s="20"/>
      <c r="N24" s="20"/>
    </row>
    <row r="25" spans="1:14" ht="12.75">
      <c r="A25" s="24"/>
      <c r="B25" s="199" t="s">
        <v>121</v>
      </c>
      <c r="C25" s="20"/>
      <c r="D25" s="20"/>
      <c r="E25" s="17"/>
      <c r="F25" s="20"/>
      <c r="G25" s="621"/>
      <c r="H25" s="611" t="s">
        <v>122</v>
      </c>
      <c r="I25" s="195"/>
      <c r="J25" s="195"/>
      <c r="K25" s="359"/>
      <c r="L25" s="211"/>
      <c r="M25" s="20"/>
      <c r="N25" s="20"/>
    </row>
    <row r="26" spans="1:14" ht="12.75">
      <c r="A26" s="24"/>
      <c r="B26" s="20" t="s">
        <v>112</v>
      </c>
      <c r="C26" s="20" t="s">
        <v>117</v>
      </c>
      <c r="D26" s="20"/>
      <c r="E26" s="17"/>
      <c r="F26" s="20"/>
      <c r="G26" s="622"/>
      <c r="H26" s="366"/>
      <c r="I26" s="366"/>
      <c r="J26" s="195"/>
      <c r="K26" s="359"/>
      <c r="L26" s="20"/>
      <c r="M26" s="20"/>
      <c r="N26" s="20"/>
    </row>
    <row r="27" spans="1:14" ht="12.75">
      <c r="A27" s="24"/>
      <c r="B27" s="20" t="s">
        <v>114</v>
      </c>
      <c r="C27" s="20" t="s">
        <v>113</v>
      </c>
      <c r="D27" s="20"/>
      <c r="E27" s="17"/>
      <c r="F27" s="20"/>
      <c r="G27" s="621"/>
      <c r="H27" s="366" t="s">
        <v>437</v>
      </c>
      <c r="I27" s="366"/>
      <c r="J27" s="195"/>
      <c r="K27" s="359"/>
      <c r="L27" s="20"/>
      <c r="M27" s="20"/>
      <c r="N27" s="20"/>
    </row>
    <row r="28" spans="1:14" ht="12.75">
      <c r="A28" s="24"/>
      <c r="B28" s="20" t="s">
        <v>115</v>
      </c>
      <c r="C28" s="20" t="s">
        <v>439</v>
      </c>
      <c r="D28" s="20"/>
      <c r="E28" s="17"/>
      <c r="F28" s="20"/>
      <c r="G28" s="621"/>
      <c r="H28" s="248" t="s">
        <v>450</v>
      </c>
      <c r="I28" s="195" t="s">
        <v>451</v>
      </c>
      <c r="J28" s="195"/>
      <c r="K28" s="359"/>
      <c r="L28" s="20"/>
      <c r="M28" s="20"/>
      <c r="N28" s="20"/>
    </row>
    <row r="29" spans="1:14" ht="12.75">
      <c r="A29" s="24"/>
      <c r="B29" s="21"/>
      <c r="C29" s="20"/>
      <c r="D29" s="20"/>
      <c r="E29" s="17"/>
      <c r="F29" s="20"/>
      <c r="G29" s="621">
        <v>2020</v>
      </c>
      <c r="H29" s="248">
        <f>E$9-(E$9*0.16)</f>
        <v>12827.179708639836</v>
      </c>
      <c r="I29" s="248">
        <f>E9-E10</f>
        <v>2443.2723254552075</v>
      </c>
      <c r="J29" s="195" t="s">
        <v>449</v>
      </c>
      <c r="K29" s="359"/>
      <c r="L29" s="20"/>
      <c r="M29" s="20"/>
      <c r="N29" s="20"/>
    </row>
    <row r="30" spans="1:14" ht="12.75">
      <c r="A30" s="24"/>
      <c r="B30" s="215" t="s">
        <v>116</v>
      </c>
      <c r="C30" s="6" t="s">
        <v>440</v>
      </c>
      <c r="D30" s="20"/>
      <c r="E30" s="17"/>
      <c r="F30" s="20"/>
      <c r="G30" s="621">
        <v>2030</v>
      </c>
      <c r="H30" s="248">
        <f>F$9-(F$9*0.16)</f>
        <v>12698.907911553439</v>
      </c>
      <c r="I30" s="248">
        <f>F9-F10</f>
        <v>2418.8396022006546</v>
      </c>
      <c r="J30" s="195"/>
      <c r="K30" s="359"/>
      <c r="L30" s="20"/>
      <c r="M30" s="20"/>
      <c r="N30" s="20"/>
    </row>
    <row r="31" spans="1:14" ht="12.75">
      <c r="A31" s="24"/>
      <c r="B31" s="376"/>
      <c r="C31" s="194"/>
      <c r="D31" s="20"/>
      <c r="E31" s="17"/>
      <c r="F31" s="20"/>
      <c r="G31" s="621">
        <v>2040</v>
      </c>
      <c r="H31" s="248">
        <f>G$9-(G$9*0.16)</f>
        <v>12314.092520294244</v>
      </c>
      <c r="I31" s="248">
        <f>G9-G10</f>
        <v>2345.5414324369995</v>
      </c>
      <c r="J31" s="195"/>
      <c r="K31" s="359"/>
      <c r="L31" s="20"/>
      <c r="M31" s="20"/>
      <c r="N31" s="20"/>
    </row>
    <row r="32" spans="1:14" ht="12.75">
      <c r="A32" s="24"/>
      <c r="B32" s="215"/>
      <c r="C32" s="195">
        <f>(6000/55792*100)</f>
        <v>10.754229997132207</v>
      </c>
      <c r="D32" s="20" t="s">
        <v>441</v>
      </c>
      <c r="E32" s="17"/>
      <c r="F32" s="20"/>
      <c r="G32" s="621">
        <v>2050</v>
      </c>
      <c r="H32" s="248">
        <f>H$9-(H$9*0.16)</f>
        <v>11936.973436860233</v>
      </c>
      <c r="I32" s="248">
        <f>H9-H10</f>
        <v>2273.709226068615</v>
      </c>
      <c r="J32" s="195"/>
      <c r="K32" s="359"/>
      <c r="L32" s="20"/>
      <c r="M32" s="20"/>
      <c r="N32" s="20"/>
    </row>
    <row r="33" spans="1:14" ht="12.75">
      <c r="A33" s="24"/>
      <c r="B33" s="215"/>
      <c r="C33" s="20"/>
      <c r="D33" s="20"/>
      <c r="E33" s="17"/>
      <c r="F33" s="20"/>
      <c r="G33" s="621"/>
      <c r="H33" s="248"/>
      <c r="I33" s="195"/>
      <c r="J33" s="195"/>
      <c r="K33" s="359"/>
      <c r="L33" s="20"/>
      <c r="M33" s="20"/>
      <c r="N33" s="20"/>
    </row>
    <row r="34" spans="1:14" ht="51">
      <c r="A34" s="24"/>
      <c r="B34" s="592"/>
      <c r="C34" s="184"/>
      <c r="D34" s="20"/>
      <c r="E34" s="17"/>
      <c r="F34" s="20"/>
      <c r="G34" s="621"/>
      <c r="H34" s="248"/>
      <c r="I34" s="195">
        <v>0.125</v>
      </c>
      <c r="J34" s="623" t="s">
        <v>447</v>
      </c>
      <c r="K34" s="359"/>
      <c r="L34" s="211"/>
      <c r="M34" s="20"/>
      <c r="N34" s="20"/>
    </row>
    <row r="35" spans="1:14" ht="12.75">
      <c r="A35" s="24"/>
      <c r="B35" s="195" t="s">
        <v>125</v>
      </c>
      <c r="C35" s="20"/>
      <c r="D35" s="20"/>
      <c r="E35" s="17"/>
      <c r="F35" s="20"/>
      <c r="G35" s="621" t="s">
        <v>445</v>
      </c>
      <c r="H35" s="248"/>
      <c r="I35" s="195"/>
      <c r="J35" s="195"/>
      <c r="K35" s="359"/>
      <c r="L35" s="211"/>
      <c r="M35" s="20"/>
      <c r="N35" s="20"/>
    </row>
    <row r="36" spans="1:14" ht="13.5" thickBot="1">
      <c r="A36" s="24"/>
      <c r="B36" s="215"/>
      <c r="C36" s="20"/>
      <c r="D36" s="20"/>
      <c r="E36" s="17"/>
      <c r="F36" s="20"/>
      <c r="G36" s="624"/>
      <c r="H36" s="370"/>
      <c r="I36" s="370"/>
      <c r="J36" s="370"/>
      <c r="K36" s="625"/>
      <c r="L36" s="211"/>
      <c r="M36" s="20"/>
      <c r="N36" s="20"/>
    </row>
    <row r="37" spans="1:14" ht="13.5" thickBot="1">
      <c r="A37" s="24"/>
      <c r="B37" s="199" t="s">
        <v>433</v>
      </c>
      <c r="C37" s="20" t="s">
        <v>434</v>
      </c>
      <c r="D37" s="20"/>
      <c r="E37" s="17"/>
      <c r="F37" s="20"/>
      <c r="L37" s="211"/>
      <c r="M37" s="20"/>
      <c r="N37" s="20"/>
    </row>
    <row r="38" spans="1:14" ht="12.75">
      <c r="A38" s="24"/>
      <c r="B38" s="611"/>
      <c r="C38" s="366" t="s">
        <v>435</v>
      </c>
      <c r="D38" s="195"/>
      <c r="E38" s="17"/>
      <c r="F38" s="20"/>
      <c r="G38" s="206"/>
      <c r="H38" s="113"/>
      <c r="I38" s="113"/>
      <c r="J38" s="113"/>
      <c r="K38" s="207"/>
      <c r="L38" s="20"/>
      <c r="M38" s="20"/>
      <c r="N38" s="20"/>
    </row>
    <row r="39" spans="1:14" ht="12.75">
      <c r="A39" s="24"/>
      <c r="B39" s="195">
        <v>2020</v>
      </c>
      <c r="C39" s="360">
        <f>(E5*0.05)</f>
        <v>4577.5439999100945</v>
      </c>
      <c r="D39" s="195"/>
      <c r="E39" s="17"/>
      <c r="F39" s="20"/>
      <c r="G39" s="24"/>
      <c r="H39" s="199" t="s">
        <v>124</v>
      </c>
      <c r="I39" s="20"/>
      <c r="J39" s="20"/>
      <c r="K39" s="17"/>
      <c r="L39" s="20"/>
      <c r="M39" s="20"/>
      <c r="N39" s="20"/>
    </row>
    <row r="40" spans="1:14" ht="12.75">
      <c r="A40" s="24"/>
      <c r="B40" s="195">
        <v>2030</v>
      </c>
      <c r="C40" s="360">
        <f>(E6*0.05)</f>
        <v>4348.666799914589</v>
      </c>
      <c r="D40" s="195"/>
      <c r="E40" s="17"/>
      <c r="F40" s="20"/>
      <c r="G40" s="24"/>
      <c r="H40" s="195" t="s">
        <v>458</v>
      </c>
      <c r="I40" s="20"/>
      <c r="J40" s="20"/>
      <c r="K40" s="17"/>
      <c r="L40" s="20"/>
      <c r="M40" s="20"/>
      <c r="N40" s="20"/>
    </row>
    <row r="41" spans="1:14" ht="12.75">
      <c r="A41" s="24"/>
      <c r="B41" s="195">
        <v>2040</v>
      </c>
      <c r="C41" s="360">
        <f>(E7*0.05)</f>
        <v>3913.800119923131</v>
      </c>
      <c r="D41" s="195"/>
      <c r="E41" s="17"/>
      <c r="F41" s="20"/>
      <c r="G41" s="24"/>
      <c r="H41" s="20" t="s">
        <v>416</v>
      </c>
      <c r="I41" s="20"/>
      <c r="J41" s="20"/>
      <c r="K41" s="17"/>
      <c r="L41" s="20"/>
      <c r="M41" s="20"/>
      <c r="N41" s="20"/>
    </row>
    <row r="42" spans="1:14" ht="12.75">
      <c r="A42" s="24"/>
      <c r="B42" s="195">
        <v>2050</v>
      </c>
      <c r="C42" s="360">
        <f>(E8*0.05)</f>
        <v>3883.0057199231305</v>
      </c>
      <c r="D42" s="195"/>
      <c r="E42" s="17"/>
      <c r="F42" s="20"/>
      <c r="G42" s="24"/>
      <c r="H42" s="20"/>
      <c r="I42" s="20"/>
      <c r="J42" s="20"/>
      <c r="K42" s="17"/>
      <c r="L42" s="20"/>
      <c r="M42" s="20"/>
      <c r="N42" s="20"/>
    </row>
    <row r="43" spans="1:14" ht="13.5" thickBot="1">
      <c r="A43" s="208"/>
      <c r="B43" s="18"/>
      <c r="C43" s="18"/>
      <c r="D43" s="18"/>
      <c r="E43" s="209"/>
      <c r="F43" s="20"/>
      <c r="G43" s="24"/>
      <c r="H43" s="215">
        <f>(936000*4.7*140)</f>
        <v>615888000</v>
      </c>
      <c r="I43" s="20" t="s">
        <v>110</v>
      </c>
      <c r="J43" s="20"/>
      <c r="K43" s="17"/>
      <c r="L43" s="20"/>
      <c r="M43" s="20"/>
      <c r="N43" s="20"/>
    </row>
    <row r="44" spans="7:13" ht="13.5" thickBot="1">
      <c r="G44" s="24"/>
      <c r="H44" s="20">
        <f>(H43/1000)</f>
        <v>615888</v>
      </c>
      <c r="I44" s="20" t="s">
        <v>109</v>
      </c>
      <c r="J44" s="20"/>
      <c r="K44" s="17"/>
      <c r="L44" s="20"/>
      <c r="M44" s="20"/>
    </row>
    <row r="45" spans="1:13" ht="12.75">
      <c r="A45" s="206"/>
      <c r="B45" s="113"/>
      <c r="C45" s="113"/>
      <c r="D45" s="207"/>
      <c r="E45" s="20"/>
      <c r="F45" s="20"/>
      <c r="G45" s="24"/>
      <c r="H45" s="193">
        <f>H44/1000</f>
        <v>615.888</v>
      </c>
      <c r="I45" s="20" t="s">
        <v>111</v>
      </c>
      <c r="J45" s="20"/>
      <c r="K45" s="17"/>
      <c r="L45" s="20"/>
      <c r="M45" s="20"/>
    </row>
    <row r="46" spans="1:13" ht="13.5" thickBot="1">
      <c r="A46" s="24"/>
      <c r="B46" s="199" t="s">
        <v>428</v>
      </c>
      <c r="C46" s="20"/>
      <c r="D46" s="17"/>
      <c r="E46" s="20"/>
      <c r="F46" s="20"/>
      <c r="G46" s="208"/>
      <c r="H46" s="612">
        <f>(H45*40)</f>
        <v>24635.52</v>
      </c>
      <c r="I46" s="613" t="s">
        <v>123</v>
      </c>
      <c r="J46" s="18"/>
      <c r="K46" s="209"/>
      <c r="L46" s="20"/>
      <c r="M46" s="20"/>
    </row>
    <row r="47" spans="1:13" ht="12.75">
      <c r="A47" s="24"/>
      <c r="B47" s="20" t="s">
        <v>118</v>
      </c>
      <c r="C47" s="20" t="s">
        <v>436</v>
      </c>
      <c r="D47" s="17"/>
      <c r="E47" s="20"/>
      <c r="F47" s="20"/>
      <c r="G47" s="20"/>
      <c r="H47" s="20"/>
      <c r="I47" s="20"/>
      <c r="J47" s="20"/>
      <c r="K47" s="20"/>
      <c r="L47" s="20"/>
      <c r="M47" s="20"/>
    </row>
    <row r="48" spans="1:6" ht="12.75">
      <c r="A48" s="24"/>
      <c r="B48" s="195" t="s">
        <v>119</v>
      </c>
      <c r="C48" s="248">
        <f>(E6*0.1)</f>
        <v>8697.333599829179</v>
      </c>
      <c r="D48" s="359"/>
      <c r="E48" s="20"/>
      <c r="F48" s="20"/>
    </row>
    <row r="49" spans="1:6" ht="12.75">
      <c r="A49" s="24"/>
      <c r="B49" s="366" t="s">
        <v>424</v>
      </c>
      <c r="C49" s="248">
        <f>(F7*0.3)</f>
        <v>18081.75655404486</v>
      </c>
      <c r="D49" s="359"/>
      <c r="E49" s="20"/>
      <c r="F49" s="20"/>
    </row>
    <row r="50" spans="1:6" ht="12.75">
      <c r="A50" s="24"/>
      <c r="B50" s="366" t="s">
        <v>425</v>
      </c>
      <c r="C50" s="248">
        <f>(G6*0.6)</f>
        <v>50096.64153501607</v>
      </c>
      <c r="D50" s="359"/>
      <c r="E50" s="20"/>
      <c r="F50" s="20"/>
    </row>
    <row r="51" spans="1:6" ht="12.75">
      <c r="A51" s="24"/>
      <c r="B51" s="366" t="s">
        <v>426</v>
      </c>
      <c r="C51" s="248">
        <f>(H6*0.9)</f>
        <v>72843.64783200932</v>
      </c>
      <c r="D51" s="359"/>
      <c r="E51" s="20"/>
      <c r="F51" s="20"/>
    </row>
    <row r="52" spans="1:6" ht="12.75">
      <c r="A52" s="24"/>
      <c r="B52" s="366" t="s">
        <v>427</v>
      </c>
      <c r="C52" s="195"/>
      <c r="D52" s="359"/>
      <c r="E52" s="20"/>
      <c r="F52" s="20"/>
    </row>
    <row r="53" spans="1:6" ht="13.5" thickBot="1">
      <c r="A53" s="208"/>
      <c r="B53" s="18"/>
      <c r="C53" s="18"/>
      <c r="D53" s="209"/>
      <c r="E53" s="20"/>
      <c r="F53" s="20"/>
    </row>
    <row r="54" spans="1:6" ht="12.75">
      <c r="A54" s="20"/>
      <c r="B54" s="20"/>
      <c r="C54" s="20"/>
      <c r="D54" s="20"/>
      <c r="E54" s="20"/>
      <c r="F54" s="20"/>
    </row>
    <row r="55" spans="1:6" ht="12.75">
      <c r="A55" s="20"/>
      <c r="B55" s="20"/>
      <c r="C55" s="20"/>
      <c r="D55" s="20"/>
      <c r="E55" s="20"/>
      <c r="F55" s="20"/>
    </row>
    <row r="56" spans="1:6" ht="12.75">
      <c r="A56" s="20"/>
      <c r="B56" s="20"/>
      <c r="C56" s="20"/>
      <c r="D56" s="20"/>
      <c r="E56" s="20"/>
      <c r="F56" s="20"/>
    </row>
    <row r="57" spans="1:6" ht="12.75">
      <c r="A57" s="20"/>
      <c r="B57" s="20"/>
      <c r="C57" s="20"/>
      <c r="D57" s="20"/>
      <c r="E57" s="20"/>
      <c r="F57" s="20"/>
    </row>
    <row r="58" ht="12.75">
      <c r="B58" t="s">
        <v>266</v>
      </c>
    </row>
    <row r="59" ht="13.5" thickBot="1">
      <c r="C59" s="145"/>
    </row>
    <row r="60" spans="2:16" ht="27" customHeight="1" thickBot="1">
      <c r="B60" s="421" t="s">
        <v>263</v>
      </c>
      <c r="C60" s="673" t="s">
        <v>264</v>
      </c>
      <c r="D60" s="674"/>
      <c r="E60" s="674"/>
      <c r="F60" s="668"/>
      <c r="G60" s="197" t="s">
        <v>415</v>
      </c>
      <c r="K60" s="152" t="s">
        <v>263</v>
      </c>
      <c r="L60" t="s">
        <v>483</v>
      </c>
      <c r="P60" t="s">
        <v>415</v>
      </c>
    </row>
    <row r="61" spans="2:18" ht="13.5" thickBot="1">
      <c r="B61" s="422"/>
      <c r="C61" s="454">
        <v>2010</v>
      </c>
      <c r="D61" s="423">
        <v>2020</v>
      </c>
      <c r="E61" s="423">
        <v>2030</v>
      </c>
      <c r="F61" s="423">
        <v>2040</v>
      </c>
      <c r="G61" s="423">
        <v>2050</v>
      </c>
      <c r="H61" s="536" t="s">
        <v>283</v>
      </c>
      <c r="L61">
        <v>2010</v>
      </c>
      <c r="M61">
        <v>2020</v>
      </c>
      <c r="N61">
        <v>2030</v>
      </c>
      <c r="O61">
        <v>2040</v>
      </c>
      <c r="P61">
        <v>2050</v>
      </c>
      <c r="Q61" s="635" t="s">
        <v>490</v>
      </c>
      <c r="R61" t="s">
        <v>492</v>
      </c>
    </row>
    <row r="62" spans="2:18" ht="26.25" thickBot="1">
      <c r="B62" s="457" t="s">
        <v>454</v>
      </c>
      <c r="C62" s="610">
        <f>D3</f>
        <v>122163.61627276035</v>
      </c>
      <c r="D62" s="610">
        <f>E3</f>
        <v>122163.61627276035</v>
      </c>
      <c r="E62" s="610">
        <f>F3</f>
        <v>120941.98011003275</v>
      </c>
      <c r="F62" s="610">
        <f>G3</f>
        <v>117277.07162184994</v>
      </c>
      <c r="G62" s="610">
        <f>H3</f>
        <v>113685.46130343078</v>
      </c>
      <c r="H62" s="536">
        <v>24513</v>
      </c>
      <c r="J62" s="688" t="s">
        <v>454</v>
      </c>
      <c r="K62" s="688"/>
      <c r="L62" s="118">
        <v>122163.61627276035</v>
      </c>
      <c r="M62" s="118">
        <v>122163.61627276035</v>
      </c>
      <c r="N62" s="118">
        <v>120941.98011003275</v>
      </c>
      <c r="O62" s="118">
        <v>117277.07162184994</v>
      </c>
      <c r="P62" s="118">
        <v>113685.46130343078</v>
      </c>
      <c r="Q62" s="635"/>
      <c r="R62" s="118">
        <f>SUM(L63:P67)</f>
        <v>215900.0754090774</v>
      </c>
    </row>
    <row r="63" spans="2:17" ht="39" thickBot="1">
      <c r="B63" s="424" t="s">
        <v>455</v>
      </c>
      <c r="C63" s="610">
        <f aca="true" t="shared" si="0" ref="C63:C68">C62</f>
        <v>122163.61627276035</v>
      </c>
      <c r="D63" s="610">
        <f>D62-I29</f>
        <v>119720.34394730514</v>
      </c>
      <c r="E63" s="610">
        <f>E62-I30</f>
        <v>118523.1405078321</v>
      </c>
      <c r="F63" s="610">
        <f>F62-I31</f>
        <v>114931.53018941294</v>
      </c>
      <c r="G63" s="610">
        <f>G62-I32</f>
        <v>111411.75207736217</v>
      </c>
      <c r="H63" s="536">
        <v>24513</v>
      </c>
      <c r="J63" s="687" t="s">
        <v>455</v>
      </c>
      <c r="K63" s="687"/>
      <c r="L63" s="118">
        <f>(L62-C63)</f>
        <v>0</v>
      </c>
      <c r="M63" s="118">
        <f>(M62-D63)</f>
        <v>2443.272325455211</v>
      </c>
      <c r="N63" s="118">
        <f>(N62-E63)</f>
        <v>2418.839602200649</v>
      </c>
      <c r="O63" s="118">
        <f>(O62-F63)</f>
        <v>2345.5414324370067</v>
      </c>
      <c r="P63" s="118">
        <f>(P62-G63)</f>
        <v>2273.7092260686186</v>
      </c>
      <c r="Q63" s="636">
        <f>SUM(L63:P63)</f>
        <v>9481.362586161486</v>
      </c>
    </row>
    <row r="64" spans="2:17" ht="13.5" thickBot="1">
      <c r="B64" s="424" t="s">
        <v>267</v>
      </c>
      <c r="C64" s="610">
        <f t="shared" si="0"/>
        <v>122163.61627276035</v>
      </c>
      <c r="D64" s="610">
        <f aca="true" t="shared" si="1" ref="D64:G67">D63-(E4-E5)</f>
        <v>112318.69476457113</v>
      </c>
      <c r="E64" s="610">
        <f t="shared" si="1"/>
        <v>111195.50781692543</v>
      </c>
      <c r="F64" s="610">
        <f t="shared" si="1"/>
        <v>107825.94697398829</v>
      </c>
      <c r="G64" s="610">
        <f t="shared" si="1"/>
        <v>104523.7773479099</v>
      </c>
      <c r="H64" s="536">
        <v>24513</v>
      </c>
      <c r="J64" s="687" t="s">
        <v>267</v>
      </c>
      <c r="K64" s="687"/>
      <c r="L64" s="63">
        <f>(C63-C64)</f>
        <v>0</v>
      </c>
      <c r="M64" s="63">
        <f aca="true" t="shared" si="2" ref="M64:P67">(D63-D64)</f>
        <v>7401.649182734007</v>
      </c>
      <c r="N64" s="63">
        <f t="shared" si="2"/>
        <v>7327.63269090667</v>
      </c>
      <c r="O64" s="63">
        <f t="shared" si="2"/>
        <v>7105.5832154246455</v>
      </c>
      <c r="P64" s="63">
        <f t="shared" si="2"/>
        <v>6887.974729452268</v>
      </c>
      <c r="Q64" s="636">
        <f>SUM(L64:P64)</f>
        <v>28722.83981851759</v>
      </c>
    </row>
    <row r="65" spans="2:17" ht="26.25" thickBot="1">
      <c r="B65" s="424" t="s">
        <v>457</v>
      </c>
      <c r="C65" s="610">
        <f t="shared" si="0"/>
        <v>122163.61627276035</v>
      </c>
      <c r="D65" s="610">
        <f t="shared" si="1"/>
        <v>107741.15076466104</v>
      </c>
      <c r="E65" s="610">
        <f t="shared" si="1"/>
        <v>106663.73925701443</v>
      </c>
      <c r="F65" s="610">
        <f t="shared" si="1"/>
        <v>103431.5047340746</v>
      </c>
      <c r="G65" s="610">
        <f t="shared" si="1"/>
        <v>100263.91490159357</v>
      </c>
      <c r="H65" s="536">
        <v>24513</v>
      </c>
      <c r="J65" s="687" t="s">
        <v>457</v>
      </c>
      <c r="K65" s="687"/>
      <c r="L65" s="63">
        <f>(C64-C65)</f>
        <v>0</v>
      </c>
      <c r="M65" s="63">
        <f t="shared" si="2"/>
        <v>4577.543999910093</v>
      </c>
      <c r="N65" s="63">
        <f t="shared" si="2"/>
        <v>4531.768559910997</v>
      </c>
      <c r="O65" s="63">
        <f t="shared" si="2"/>
        <v>4394.4422399136965</v>
      </c>
      <c r="P65" s="63">
        <f t="shared" si="2"/>
        <v>4259.862446316329</v>
      </c>
      <c r="Q65" s="636">
        <f>SUM(L65:P65)</f>
        <v>17763.617246051115</v>
      </c>
    </row>
    <row r="66" spans="2:17" ht="13.5" thickBot="1">
      <c r="B66" s="424" t="s">
        <v>456</v>
      </c>
      <c r="C66" s="610">
        <f t="shared" si="0"/>
        <v>122163.61627276035</v>
      </c>
      <c r="D66" s="610">
        <f t="shared" si="1"/>
        <v>99043.81716483187</v>
      </c>
      <c r="E66" s="610">
        <f t="shared" si="1"/>
        <v>80832.65846552177</v>
      </c>
      <c r="F66" s="610">
        <f t="shared" si="1"/>
        <v>53334.86319905853</v>
      </c>
      <c r="G66" s="610">
        <f t="shared" si="1"/>
        <v>27420.267069584253</v>
      </c>
      <c r="H66" s="536">
        <v>24513</v>
      </c>
      <c r="J66" s="687" t="s">
        <v>456</v>
      </c>
      <c r="K66" s="687"/>
      <c r="L66" s="63">
        <f>(C65-C66)</f>
        <v>0</v>
      </c>
      <c r="M66" s="63">
        <f t="shared" si="2"/>
        <v>8697.333599829173</v>
      </c>
      <c r="N66" s="63">
        <f t="shared" si="2"/>
        <v>25831.080791492655</v>
      </c>
      <c r="O66" s="63">
        <f t="shared" si="2"/>
        <v>50096.64153501607</v>
      </c>
      <c r="P66" s="63">
        <f t="shared" si="2"/>
        <v>72843.64783200932</v>
      </c>
      <c r="Q66" s="636">
        <f>SUM(L66:P66)</f>
        <v>157468.7037583472</v>
      </c>
    </row>
    <row r="67" spans="2:17" ht="13.5" thickBot="1">
      <c r="B67" s="609" t="s">
        <v>268</v>
      </c>
      <c r="C67" s="614">
        <f t="shared" si="0"/>
        <v>122163.61627276035</v>
      </c>
      <c r="D67" s="614">
        <f t="shared" si="1"/>
        <v>98427.92916483186</v>
      </c>
      <c r="E67" s="614">
        <f t="shared" si="1"/>
        <v>80216.77046552178</v>
      </c>
      <c r="F67" s="614">
        <f t="shared" si="1"/>
        <v>52718.97519905853</v>
      </c>
      <c r="G67" s="614">
        <f t="shared" si="1"/>
        <v>26804.379069584254</v>
      </c>
      <c r="H67" s="536">
        <v>24513</v>
      </c>
      <c r="J67" s="687" t="s">
        <v>268</v>
      </c>
      <c r="K67" s="687"/>
      <c r="L67" s="63">
        <f>(C66-C67)</f>
        <v>0</v>
      </c>
      <c r="M67" s="63">
        <f t="shared" si="2"/>
        <v>615.8880000000063</v>
      </c>
      <c r="N67" s="63">
        <f t="shared" si="2"/>
        <v>615.8879999999917</v>
      </c>
      <c r="O67" s="63">
        <f t="shared" si="2"/>
        <v>615.887999999999</v>
      </c>
      <c r="P67" s="63">
        <f t="shared" si="2"/>
        <v>615.887999999999</v>
      </c>
      <c r="Q67" s="636">
        <f>SUM(L67:P67)</f>
        <v>2463.551999999996</v>
      </c>
    </row>
    <row r="68" spans="2:17" ht="26.25" thickBot="1">
      <c r="B68" s="615" t="s">
        <v>448</v>
      </c>
      <c r="C68" s="616">
        <f t="shared" si="0"/>
        <v>122163.61627276035</v>
      </c>
      <c r="D68" s="616">
        <f>D67</f>
        <v>98427.92916483186</v>
      </c>
      <c r="E68" s="616">
        <f>E67</f>
        <v>80216.77046552178</v>
      </c>
      <c r="F68" s="616">
        <f>F67</f>
        <v>52718.97519905853</v>
      </c>
      <c r="G68" s="617">
        <f>G67</f>
        <v>26804.379069584254</v>
      </c>
      <c r="H68" s="536"/>
      <c r="Q68" s="158"/>
    </row>
  </sheetData>
  <mergeCells count="10">
    <mergeCell ref="J67:K67"/>
    <mergeCell ref="J62:K62"/>
    <mergeCell ref="J63:K63"/>
    <mergeCell ref="J64:K64"/>
    <mergeCell ref="J65:K65"/>
    <mergeCell ref="J66:K66"/>
    <mergeCell ref="C1:I1"/>
    <mergeCell ref="B15:B21"/>
    <mergeCell ref="D15:J21"/>
    <mergeCell ref="C60:F60"/>
  </mergeCells>
  <conditionalFormatting sqref="N9">
    <cfRule type="cellIs" priority="1" dxfId="0" operator="lessThan" stopIfTrue="1">
      <formula>$N$4</formula>
    </cfRule>
    <cfRule type="cellIs" priority="2" dxfId="1" operator="greaterThan" stopIfTrue="1">
      <formula>$N$4</formula>
    </cfRule>
  </conditionalFormatting>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B2:T119"/>
  <sheetViews>
    <sheetView workbookViewId="0" topLeftCell="B85">
      <selection activeCell="I109" sqref="I109"/>
    </sheetView>
  </sheetViews>
  <sheetFormatPr defaultColWidth="9.140625" defaultRowHeight="12.75"/>
  <cols>
    <col min="3" max="3" width="33.00390625" style="0" customWidth="1"/>
    <col min="4" max="4" width="19.7109375" style="0" customWidth="1"/>
    <col min="5" max="5" width="17.57421875" style="0" customWidth="1"/>
    <col min="6" max="6" width="15.421875" style="0" customWidth="1"/>
    <col min="7" max="7" width="14.7109375" style="0" customWidth="1"/>
    <col min="8" max="8" width="13.28125" style="0" customWidth="1"/>
    <col min="9" max="9" width="12.57421875" style="0" customWidth="1"/>
    <col min="13" max="13" width="21.00390625" style="0" customWidth="1"/>
    <col min="16" max="16" width="12.421875" style="0" customWidth="1"/>
  </cols>
  <sheetData>
    <row r="2" spans="2:10" ht="26.25" thickBot="1">
      <c r="B2" s="55"/>
      <c r="C2" s="182" t="s">
        <v>105</v>
      </c>
      <c r="D2" s="670"/>
      <c r="E2" s="670"/>
      <c r="F2" s="670"/>
      <c r="G2" s="670"/>
      <c r="H2" s="670"/>
      <c r="I2" s="670"/>
      <c r="J2" s="670"/>
    </row>
    <row r="3" spans="2:10" ht="52.5" thickBot="1" thickTop="1">
      <c r="B3" s="182"/>
      <c r="C3" s="183" t="s">
        <v>59</v>
      </c>
      <c r="D3" s="186" t="s">
        <v>66</v>
      </c>
      <c r="E3" s="187" t="s">
        <v>90</v>
      </c>
      <c r="F3" s="187">
        <v>2020</v>
      </c>
      <c r="G3" s="187">
        <v>2030</v>
      </c>
      <c r="H3" s="187">
        <v>2040</v>
      </c>
      <c r="I3" s="187">
        <v>2050</v>
      </c>
      <c r="J3" s="188" t="s">
        <v>106</v>
      </c>
    </row>
    <row r="4" spans="2:10" ht="14.25" thickBot="1" thickTop="1">
      <c r="B4" s="190" t="s">
        <v>5</v>
      </c>
      <c r="C4" s="220" t="s">
        <v>70</v>
      </c>
      <c r="D4" s="221">
        <v>113144.36615108461</v>
      </c>
      <c r="E4" s="221">
        <v>99209.55907490112</v>
      </c>
      <c r="F4" s="221">
        <f>(E4)+(0.04*E4)</f>
        <v>103177.94143789716</v>
      </c>
      <c r="G4" s="221">
        <f>(F4)+(0.01*F4)</f>
        <v>104209.72085227612</v>
      </c>
      <c r="H4" s="221">
        <f>(G4)-(0.01*G4)</f>
        <v>103167.62364375337</v>
      </c>
      <c r="I4" s="221">
        <f>(H4)-(0.03*H4)</f>
        <v>100072.59493444077</v>
      </c>
      <c r="J4" s="222">
        <f>D4*0.2</f>
        <v>22628.873230216923</v>
      </c>
    </row>
    <row r="5" spans="2:10" ht="13.5" thickTop="1">
      <c r="B5" s="20"/>
      <c r="C5" s="193"/>
      <c r="D5" s="192"/>
      <c r="E5" s="192"/>
      <c r="F5" s="192"/>
      <c r="G5" s="192"/>
      <c r="H5" s="192"/>
      <c r="I5" s="192"/>
      <c r="J5" s="192"/>
    </row>
    <row r="6" ht="12.75">
      <c r="C6" s="210" t="s">
        <v>127</v>
      </c>
    </row>
    <row r="7" spans="2:13" ht="63.75">
      <c r="B7" t="s">
        <v>120</v>
      </c>
      <c r="C7" s="228" t="s">
        <v>258</v>
      </c>
      <c r="F7" s="63">
        <v>21820</v>
      </c>
      <c r="G7" s="63">
        <v>43640</v>
      </c>
      <c r="H7" s="63">
        <f>'EE data and job creation'!J26</f>
        <v>65460.90773364318</v>
      </c>
      <c r="I7" s="63">
        <f>H7</f>
        <v>65460.90773364318</v>
      </c>
      <c r="M7" s="253"/>
    </row>
    <row r="8" spans="2:9" ht="25.5">
      <c r="B8" t="s">
        <v>120</v>
      </c>
      <c r="C8" s="55" t="s">
        <v>253</v>
      </c>
      <c r="F8" s="63">
        <v>0</v>
      </c>
      <c r="G8" s="63">
        <v>51.6</v>
      </c>
      <c r="H8" s="63">
        <v>51.6</v>
      </c>
      <c r="I8" s="63">
        <v>51.6</v>
      </c>
    </row>
    <row r="9" spans="2:9" ht="38.25">
      <c r="B9" t="s">
        <v>120</v>
      </c>
      <c r="C9" s="55" t="s">
        <v>254</v>
      </c>
      <c r="F9" s="63">
        <f>($C$46+$C$47)</f>
        <v>4662.000000000001</v>
      </c>
      <c r="G9" s="63">
        <f>($C$46+$C$47)</f>
        <v>4662.000000000001</v>
      </c>
      <c r="H9" s="63">
        <f>($C$46+$C$47)</f>
        <v>4662.000000000001</v>
      </c>
      <c r="I9" s="63">
        <f>($C$46+$C$47)</f>
        <v>4662.000000000001</v>
      </c>
    </row>
    <row r="10" spans="2:9" ht="13.5" thickBot="1">
      <c r="B10" t="s">
        <v>120</v>
      </c>
      <c r="C10" s="55" t="s">
        <v>260</v>
      </c>
      <c r="F10" s="63">
        <v>0</v>
      </c>
      <c r="G10" s="63">
        <v>0</v>
      </c>
      <c r="H10" s="63">
        <f>C58</f>
        <v>7145</v>
      </c>
      <c r="I10" s="63">
        <f>H10</f>
        <v>7145</v>
      </c>
    </row>
    <row r="11" spans="2:17" s="419" customFormat="1" ht="39" thickBot="1">
      <c r="B11" s="410" t="s">
        <v>120</v>
      </c>
      <c r="C11" s="411" t="s">
        <v>255</v>
      </c>
      <c r="D11" s="412"/>
      <c r="E11" s="412"/>
      <c r="F11" s="413">
        <f>E73</f>
        <v>4763.5</v>
      </c>
      <c r="G11" s="413">
        <f>E74</f>
        <v>4763.5</v>
      </c>
      <c r="H11" s="413">
        <f>E75</f>
        <v>2381.75</v>
      </c>
      <c r="I11" s="413">
        <f>E76</f>
        <v>2381.75</v>
      </c>
      <c r="J11" s="414"/>
      <c r="K11" s="414"/>
      <c r="L11" s="414"/>
      <c r="M11" s="414"/>
      <c r="N11" s="415" t="s">
        <v>194</v>
      </c>
      <c r="O11" s="416"/>
      <c r="P11" s="417" t="s">
        <v>192</v>
      </c>
      <c r="Q11" s="418" t="s">
        <v>193</v>
      </c>
    </row>
    <row r="12" spans="3:17" ht="39" thickBot="1">
      <c r="C12" s="255" t="s">
        <v>175</v>
      </c>
      <c r="D12" s="256">
        <f aca="true" t="shared" si="0" ref="D12:I12">SUM(D5:D11)</f>
        <v>0</v>
      </c>
      <c r="E12" s="256">
        <f t="shared" si="0"/>
        <v>0</v>
      </c>
      <c r="F12" s="256">
        <f>SUM(F5:F11)</f>
        <v>31245.5</v>
      </c>
      <c r="G12" s="256">
        <f t="shared" si="0"/>
        <v>53117.1</v>
      </c>
      <c r="H12" s="256">
        <f>SUM(H5:H11)</f>
        <v>79701.25773364319</v>
      </c>
      <c r="I12" s="256">
        <f t="shared" si="0"/>
        <v>79701.25773364319</v>
      </c>
      <c r="J12" s="257"/>
      <c r="N12" s="346" t="s">
        <v>191</v>
      </c>
      <c r="O12" s="347"/>
      <c r="P12" s="348">
        <f>D4-I13</f>
        <v>92773.02895028703</v>
      </c>
      <c r="Q12" s="351">
        <f>P12/D13</f>
        <v>0.8199527038439085</v>
      </c>
    </row>
    <row r="13" spans="3:10" ht="26.25" thickBot="1">
      <c r="C13" s="254" t="s">
        <v>161</v>
      </c>
      <c r="D13" s="258">
        <f aca="true" t="shared" si="1" ref="D13:I13">D4-D12</f>
        <v>113144.36615108461</v>
      </c>
      <c r="E13" s="258">
        <f t="shared" si="1"/>
        <v>99209.55907490112</v>
      </c>
      <c r="F13" s="258">
        <f t="shared" si="1"/>
        <v>71932.44143789716</v>
      </c>
      <c r="G13" s="258">
        <f t="shared" si="1"/>
        <v>51092.62085227612</v>
      </c>
      <c r="H13" s="258">
        <f t="shared" si="1"/>
        <v>23466.36591011018</v>
      </c>
      <c r="I13" s="258">
        <f t="shared" si="1"/>
        <v>20371.337200797585</v>
      </c>
      <c r="J13" s="259"/>
    </row>
    <row r="15" spans="3:11" ht="12.75">
      <c r="C15" s="671" t="s">
        <v>166</v>
      </c>
      <c r="E15" s="690" t="s">
        <v>285</v>
      </c>
      <c r="F15" s="691"/>
      <c r="G15" s="691"/>
      <c r="H15" s="691"/>
      <c r="I15" s="691"/>
      <c r="J15" s="691"/>
      <c r="K15" s="692"/>
    </row>
    <row r="16" spans="3:11" ht="12.75">
      <c r="C16" s="685"/>
      <c r="E16" s="693"/>
      <c r="F16" s="686"/>
      <c r="G16" s="686"/>
      <c r="H16" s="686"/>
      <c r="I16" s="686"/>
      <c r="J16" s="686"/>
      <c r="K16" s="694"/>
    </row>
    <row r="17" spans="3:11" ht="12.75">
      <c r="C17" s="685"/>
      <c r="E17" s="693"/>
      <c r="F17" s="686"/>
      <c r="G17" s="686"/>
      <c r="H17" s="686"/>
      <c r="I17" s="686"/>
      <c r="J17" s="686"/>
      <c r="K17" s="694"/>
    </row>
    <row r="18" spans="3:11" ht="12.75">
      <c r="C18" s="685"/>
      <c r="E18" s="693"/>
      <c r="F18" s="686"/>
      <c r="G18" s="686"/>
      <c r="H18" s="686"/>
      <c r="I18" s="686"/>
      <c r="J18" s="686"/>
      <c r="K18" s="694"/>
    </row>
    <row r="19" spans="3:11" ht="12.75">
      <c r="C19" s="685"/>
      <c r="E19" s="693"/>
      <c r="F19" s="686"/>
      <c r="G19" s="686"/>
      <c r="H19" s="686"/>
      <c r="I19" s="686"/>
      <c r="J19" s="686"/>
      <c r="K19" s="694"/>
    </row>
    <row r="20" spans="3:11" ht="12.75">
      <c r="C20" s="685"/>
      <c r="E20" s="693"/>
      <c r="F20" s="686"/>
      <c r="G20" s="686"/>
      <c r="H20" s="686"/>
      <c r="I20" s="686"/>
      <c r="J20" s="686"/>
      <c r="K20" s="694"/>
    </row>
    <row r="21" spans="3:11" ht="12.75">
      <c r="C21" s="685"/>
      <c r="E21" s="693"/>
      <c r="F21" s="686"/>
      <c r="G21" s="686"/>
      <c r="H21" s="686"/>
      <c r="I21" s="686"/>
      <c r="J21" s="686"/>
      <c r="K21" s="694"/>
    </row>
    <row r="22" spans="3:11" ht="12.75">
      <c r="C22" s="685"/>
      <c r="E22" s="693"/>
      <c r="F22" s="686"/>
      <c r="G22" s="686"/>
      <c r="H22" s="686"/>
      <c r="I22" s="686"/>
      <c r="J22" s="686"/>
      <c r="K22" s="694"/>
    </row>
    <row r="23" spans="3:11" ht="12.75">
      <c r="C23" s="685"/>
      <c r="E23" s="693"/>
      <c r="F23" s="686"/>
      <c r="G23" s="686"/>
      <c r="H23" s="686"/>
      <c r="I23" s="686"/>
      <c r="J23" s="686"/>
      <c r="K23" s="694"/>
    </row>
    <row r="24" spans="3:11" ht="12.75">
      <c r="C24" s="685"/>
      <c r="E24" s="693"/>
      <c r="F24" s="686"/>
      <c r="G24" s="686"/>
      <c r="H24" s="686"/>
      <c r="I24" s="686"/>
      <c r="J24" s="686"/>
      <c r="K24" s="694"/>
    </row>
    <row r="25" spans="3:11" ht="12.75">
      <c r="C25" s="685"/>
      <c r="E25" s="693"/>
      <c r="F25" s="686"/>
      <c r="G25" s="686"/>
      <c r="H25" s="686"/>
      <c r="I25" s="686"/>
      <c r="J25" s="686"/>
      <c r="K25" s="694"/>
    </row>
    <row r="26" spans="3:11" ht="12.75">
      <c r="C26" s="685"/>
      <c r="E26" s="693"/>
      <c r="F26" s="686"/>
      <c r="G26" s="686"/>
      <c r="H26" s="686"/>
      <c r="I26" s="686"/>
      <c r="J26" s="686"/>
      <c r="K26" s="694"/>
    </row>
    <row r="27" spans="3:11" ht="12.75">
      <c r="C27" s="685"/>
      <c r="E27" s="695"/>
      <c r="F27" s="696"/>
      <c r="G27" s="696"/>
      <c r="H27" s="696"/>
      <c r="I27" s="696"/>
      <c r="J27" s="696"/>
      <c r="K27" s="697"/>
    </row>
    <row r="28" ht="12.75">
      <c r="C28" s="689"/>
    </row>
    <row r="29" ht="13.5" thickBot="1"/>
    <row r="30" spans="8:15" ht="13.5" thickBot="1">
      <c r="H30" s="206"/>
      <c r="I30" s="113"/>
      <c r="J30" s="113"/>
      <c r="K30" s="113"/>
      <c r="L30" s="113"/>
      <c r="M30" s="113"/>
      <c r="N30" s="113"/>
      <c r="O30" s="207"/>
    </row>
    <row r="31" spans="2:15" ht="12.75">
      <c r="B31" s="206"/>
      <c r="C31" s="113"/>
      <c r="D31" s="113"/>
      <c r="E31" s="207"/>
      <c r="H31" s="24"/>
      <c r="I31" s="199" t="s">
        <v>139</v>
      </c>
      <c r="J31" s="20"/>
      <c r="K31" s="20"/>
      <c r="L31" s="20"/>
      <c r="M31" s="20"/>
      <c r="N31" s="20"/>
      <c r="O31" s="17"/>
    </row>
    <row r="32" spans="2:15" ht="12.75">
      <c r="B32" s="24"/>
      <c r="C32" s="199" t="s">
        <v>134</v>
      </c>
      <c r="D32" s="20"/>
      <c r="E32" s="17"/>
      <c r="F32" s="20"/>
      <c r="G32" s="20"/>
      <c r="H32" s="24"/>
      <c r="I32" s="20"/>
      <c r="J32" s="20"/>
      <c r="K32" s="20"/>
      <c r="L32" s="20"/>
      <c r="M32" s="20"/>
      <c r="N32" s="20"/>
      <c r="O32" s="17"/>
    </row>
    <row r="33" spans="2:15" ht="12.75">
      <c r="B33" s="24"/>
      <c r="C33" s="20"/>
      <c r="D33" s="20"/>
      <c r="E33" s="17"/>
      <c r="F33" s="20"/>
      <c r="G33" s="20"/>
      <c r="H33" s="24"/>
      <c r="I33" s="20">
        <v>300</v>
      </c>
      <c r="J33" s="20" t="s">
        <v>138</v>
      </c>
      <c r="K33" s="20"/>
      <c r="L33" s="20"/>
      <c r="M33" s="20"/>
      <c r="N33" s="20"/>
      <c r="O33" s="17"/>
    </row>
    <row r="34" spans="2:15" ht="12.75">
      <c r="B34" s="24"/>
      <c r="C34" s="215">
        <v>19054</v>
      </c>
      <c r="D34" s="20" t="s">
        <v>126</v>
      </c>
      <c r="E34" s="17"/>
      <c r="F34" s="20"/>
      <c r="G34" s="20"/>
      <c r="H34" s="24"/>
      <c r="I34" s="20">
        <f>(I33*172)</f>
        <v>51600</v>
      </c>
      <c r="J34" s="20" t="s">
        <v>136</v>
      </c>
      <c r="K34" s="20"/>
      <c r="L34" s="20"/>
      <c r="M34" s="20"/>
      <c r="N34" s="20"/>
      <c r="O34" s="17"/>
    </row>
    <row r="35" spans="2:15" ht="12.75">
      <c r="B35" s="24"/>
      <c r="C35" s="215" t="s">
        <v>135</v>
      </c>
      <c r="D35" s="20" t="s">
        <v>419</v>
      </c>
      <c r="E35" s="17"/>
      <c r="F35" s="20"/>
      <c r="G35" s="20"/>
      <c r="H35" s="24"/>
      <c r="I35" s="20">
        <f>(I34/1000)</f>
        <v>51.6</v>
      </c>
      <c r="J35" s="20" t="s">
        <v>137</v>
      </c>
      <c r="K35" s="20"/>
      <c r="L35" s="20"/>
      <c r="M35" s="20"/>
      <c r="N35" s="20"/>
      <c r="O35" s="17"/>
    </row>
    <row r="36" spans="2:15" ht="12.75">
      <c r="B36" s="24"/>
      <c r="C36" s="215">
        <v>65461</v>
      </c>
      <c r="D36" s="20"/>
      <c r="E36" s="17"/>
      <c r="F36" s="20"/>
      <c r="G36" s="20"/>
      <c r="H36" s="24"/>
      <c r="I36" s="20"/>
      <c r="J36" s="20"/>
      <c r="K36" s="20"/>
      <c r="L36" s="20"/>
      <c r="M36" s="20"/>
      <c r="N36" s="407" t="s">
        <v>242</v>
      </c>
      <c r="O36" s="17"/>
    </row>
    <row r="37" spans="2:15" ht="13.5" thickBot="1">
      <c r="B37" s="24"/>
      <c r="C37" s="20" t="s">
        <v>420</v>
      </c>
      <c r="E37" s="17"/>
      <c r="F37" s="20"/>
      <c r="G37" s="20"/>
      <c r="H37" s="208"/>
      <c r="I37" s="18"/>
      <c r="J37" s="18"/>
      <c r="K37" s="18"/>
      <c r="L37" s="18"/>
      <c r="M37" s="18"/>
      <c r="N37" s="18"/>
      <c r="O37" s="209"/>
    </row>
    <row r="38" spans="2:9" ht="13.5" thickBot="1">
      <c r="B38" s="208"/>
      <c r="C38" s="247"/>
      <c r="D38" s="18"/>
      <c r="E38" s="209"/>
      <c r="F38" s="20"/>
      <c r="G38" s="20"/>
      <c r="H38" s="20"/>
      <c r="I38" s="20"/>
    </row>
    <row r="39" spans="2:9" ht="12.75">
      <c r="B39" s="20"/>
      <c r="C39" s="20"/>
      <c r="D39" s="6"/>
      <c r="E39" s="20"/>
      <c r="F39" s="20"/>
      <c r="G39" s="20"/>
      <c r="H39" s="20"/>
      <c r="I39" s="20"/>
    </row>
    <row r="40" spans="2:9" ht="12.75">
      <c r="B40" s="20"/>
      <c r="C40" s="20"/>
      <c r="D40" s="20"/>
      <c r="E40" s="20"/>
      <c r="F40" s="20"/>
      <c r="G40" s="20"/>
      <c r="H40" s="20"/>
      <c r="I40" s="20"/>
    </row>
    <row r="42" ht="13.5" thickBot="1"/>
    <row r="43" spans="2:7" ht="12.75">
      <c r="B43" s="206"/>
      <c r="C43" s="227" t="s">
        <v>143</v>
      </c>
      <c r="D43" s="113"/>
      <c r="E43" s="113"/>
      <c r="F43" s="113"/>
      <c r="G43" s="207"/>
    </row>
    <row r="44" spans="2:7" ht="12.75">
      <c r="B44" s="24"/>
      <c r="C44" s="20"/>
      <c r="D44" s="20"/>
      <c r="E44" s="20"/>
      <c r="F44" s="20"/>
      <c r="G44" s="17"/>
    </row>
    <row r="45" spans="2:7" ht="12.75">
      <c r="B45" s="24"/>
      <c r="C45" s="20">
        <v>3000</v>
      </c>
      <c r="D45" s="20" t="s">
        <v>140</v>
      </c>
      <c r="E45" s="20"/>
      <c r="F45" s="20"/>
      <c r="G45" s="17"/>
    </row>
    <row r="46" spans="2:7" ht="12.75">
      <c r="B46" s="24"/>
      <c r="C46" s="20">
        <f>(1500*2.22)*0.4</f>
        <v>1332.0000000000002</v>
      </c>
      <c r="D46" s="20" t="s">
        <v>144</v>
      </c>
      <c r="E46" s="20"/>
      <c r="F46" s="20"/>
      <c r="G46" s="17"/>
    </row>
    <row r="47" spans="2:7" ht="12.75">
      <c r="B47" s="24"/>
      <c r="C47" s="20">
        <f>(1500*2.22)</f>
        <v>3330.0000000000005</v>
      </c>
      <c r="D47" s="20" t="s">
        <v>145</v>
      </c>
      <c r="E47" s="20"/>
      <c r="F47" s="20"/>
      <c r="G47" s="17"/>
    </row>
    <row r="48" spans="2:7" ht="12.75">
      <c r="B48" s="24"/>
      <c r="C48" s="195" t="s">
        <v>142</v>
      </c>
      <c r="D48" s="195" t="s">
        <v>141</v>
      </c>
      <c r="E48" s="20"/>
      <c r="F48" s="20"/>
      <c r="G48" s="17"/>
    </row>
    <row r="49" spans="2:7" ht="41.25" customHeight="1">
      <c r="B49" s="699" t="s">
        <v>262</v>
      </c>
      <c r="C49" s="700"/>
      <c r="D49" s="700"/>
      <c r="E49" s="700"/>
      <c r="F49" s="700"/>
      <c r="G49" s="701"/>
    </row>
    <row r="50" spans="2:7" ht="13.5" thickBot="1">
      <c r="B50" s="208"/>
      <c r="C50" s="18"/>
      <c r="D50" s="251" t="s">
        <v>146</v>
      </c>
      <c r="E50" s="18"/>
      <c r="F50" s="18"/>
      <c r="G50" s="209"/>
    </row>
    <row r="52" ht="13.5" thickBot="1"/>
    <row r="53" spans="2:7" ht="12.75">
      <c r="B53" s="206"/>
      <c r="C53" s="227" t="s">
        <v>131</v>
      </c>
      <c r="D53" s="113"/>
      <c r="E53" s="113"/>
      <c r="F53" s="113"/>
      <c r="G53" s="207"/>
    </row>
    <row r="54" spans="2:7" ht="12.75">
      <c r="B54" s="24"/>
      <c r="C54" s="20"/>
      <c r="D54" s="20"/>
      <c r="E54" s="20"/>
      <c r="F54" s="20"/>
      <c r="G54" s="17"/>
    </row>
    <row r="55" spans="2:7" ht="12.75">
      <c r="B55" s="24"/>
      <c r="C55" s="20"/>
      <c r="D55" s="20" t="s">
        <v>259</v>
      </c>
      <c r="E55" s="20"/>
      <c r="F55" s="20"/>
      <c r="G55" s="17"/>
    </row>
    <row r="56" spans="2:7" ht="12.75">
      <c r="B56" s="24"/>
      <c r="C56" s="20"/>
      <c r="D56" s="20" t="s">
        <v>132</v>
      </c>
      <c r="E56" s="20"/>
      <c r="F56" s="20"/>
      <c r="G56" s="17"/>
    </row>
    <row r="57" spans="2:7" ht="12.75">
      <c r="B57" s="24"/>
      <c r="C57" s="252">
        <v>0.5</v>
      </c>
      <c r="D57" s="20" t="s">
        <v>164</v>
      </c>
      <c r="E57" s="20"/>
      <c r="F57" s="20"/>
      <c r="G57" s="17"/>
    </row>
    <row r="58" spans="2:7" ht="12.75">
      <c r="B58" s="24"/>
      <c r="C58" s="215">
        <f>(C57*14290)</f>
        <v>7145</v>
      </c>
      <c r="D58" s="20" t="s">
        <v>421</v>
      </c>
      <c r="E58" s="20"/>
      <c r="F58" s="20"/>
      <c r="G58" s="17"/>
    </row>
    <row r="59" spans="2:7" ht="12.75">
      <c r="B59" s="24"/>
      <c r="C59" s="20"/>
      <c r="D59" s="6" t="s">
        <v>165</v>
      </c>
      <c r="E59" s="20"/>
      <c r="F59" s="20"/>
      <c r="G59" s="17"/>
    </row>
    <row r="60" spans="2:7" ht="12.75">
      <c r="B60" s="24"/>
      <c r="C60" s="20"/>
      <c r="D60" s="20"/>
      <c r="E60" s="20"/>
      <c r="F60" s="20"/>
      <c r="G60" s="17"/>
    </row>
    <row r="61" spans="2:7" ht="12.75">
      <c r="B61" s="24"/>
      <c r="C61" s="20"/>
      <c r="D61" s="20"/>
      <c r="E61" s="20"/>
      <c r="F61" s="20"/>
      <c r="G61" s="17"/>
    </row>
    <row r="62" spans="2:7" ht="12.75">
      <c r="B62" s="24"/>
      <c r="C62" s="20"/>
      <c r="D62" s="6" t="s">
        <v>418</v>
      </c>
      <c r="E62" s="20"/>
      <c r="F62" s="20"/>
      <c r="G62" s="17"/>
    </row>
    <row r="63" spans="2:7" ht="12.75">
      <c r="B63" s="24"/>
      <c r="C63" s="20"/>
      <c r="D63" s="20"/>
      <c r="E63" s="20"/>
      <c r="F63" s="20"/>
      <c r="G63" s="17"/>
    </row>
    <row r="64" spans="2:7" ht="12.75">
      <c r="B64" s="24"/>
      <c r="C64" s="20"/>
      <c r="D64" s="20" t="s">
        <v>261</v>
      </c>
      <c r="E64" s="20"/>
      <c r="F64" s="20"/>
      <c r="G64" s="17"/>
    </row>
    <row r="65" spans="2:7" ht="13.5" thickBot="1">
      <c r="B65" s="208"/>
      <c r="C65" s="18"/>
      <c r="D65" s="18"/>
      <c r="E65" s="18"/>
      <c r="F65" s="18"/>
      <c r="G65" s="209"/>
    </row>
    <row r="67" ht="13.5" thickBot="1"/>
    <row r="68" spans="2:7" ht="12.75">
      <c r="B68" s="206"/>
      <c r="C68" s="227" t="s">
        <v>167</v>
      </c>
      <c r="D68" s="113"/>
      <c r="E68" s="113"/>
      <c r="F68" s="113"/>
      <c r="G68" s="207"/>
    </row>
    <row r="69" spans="2:7" ht="12.75">
      <c r="B69" s="24"/>
      <c r="C69" s="195"/>
      <c r="D69" s="195"/>
      <c r="E69" s="195"/>
      <c r="F69" s="195"/>
      <c r="G69" s="359"/>
    </row>
    <row r="70" spans="2:7" ht="12.75">
      <c r="B70" s="24"/>
      <c r="C70" s="195" t="s">
        <v>171</v>
      </c>
      <c r="D70" s="195"/>
      <c r="E70" s="195"/>
      <c r="F70" s="195"/>
      <c r="G70" s="359"/>
    </row>
    <row r="71" spans="2:7" ht="12.75">
      <c r="B71" s="24"/>
      <c r="C71" s="195" t="s">
        <v>172</v>
      </c>
      <c r="D71" s="195"/>
      <c r="E71" s="195"/>
      <c r="F71" s="195"/>
      <c r="G71" s="359"/>
    </row>
    <row r="72" spans="2:7" ht="12.75">
      <c r="B72" s="24"/>
      <c r="C72" s="389"/>
      <c r="D72" s="390" t="s">
        <v>173</v>
      </c>
      <c r="E72" s="390" t="s">
        <v>174</v>
      </c>
      <c r="F72" s="390" t="s">
        <v>170</v>
      </c>
      <c r="G72" s="359"/>
    </row>
    <row r="73" spans="2:7" ht="25.5">
      <c r="B73" s="24"/>
      <c r="C73" s="391" t="s">
        <v>168</v>
      </c>
      <c r="D73" s="392">
        <f>100*19054/1000</f>
        <v>1905.4</v>
      </c>
      <c r="E73" s="392">
        <f>250*19054/1000</f>
        <v>4763.5</v>
      </c>
      <c r="F73" s="393">
        <v>2020</v>
      </c>
      <c r="G73" s="359"/>
    </row>
    <row r="74" spans="2:7" ht="25.5">
      <c r="B74" s="24"/>
      <c r="C74" s="391" t="s">
        <v>168</v>
      </c>
      <c r="D74" s="392">
        <f>100*19054/1000</f>
        <v>1905.4</v>
      </c>
      <c r="E74" s="392">
        <f>250*19054/1000</f>
        <v>4763.5</v>
      </c>
      <c r="F74" s="393">
        <v>2030</v>
      </c>
      <c r="G74" s="359"/>
    </row>
    <row r="75" spans="2:7" ht="38.25">
      <c r="B75" s="24"/>
      <c r="C75" s="394" t="s">
        <v>169</v>
      </c>
      <c r="D75" s="392">
        <f>100*9527/1000</f>
        <v>952.7</v>
      </c>
      <c r="E75" s="392">
        <f>250*9527/1000</f>
        <v>2381.75</v>
      </c>
      <c r="F75" s="393">
        <v>2040</v>
      </c>
      <c r="G75" s="359"/>
    </row>
    <row r="76" spans="2:7" ht="38.25">
      <c r="B76" s="24"/>
      <c r="C76" s="394" t="s">
        <v>169</v>
      </c>
      <c r="D76" s="392">
        <f>100*9527/1000</f>
        <v>952.7</v>
      </c>
      <c r="E76" s="392">
        <f>250*9527/1000</f>
        <v>2381.75</v>
      </c>
      <c r="F76" s="395">
        <v>2050</v>
      </c>
      <c r="G76" s="359"/>
    </row>
    <row r="77" spans="2:7" ht="12.75">
      <c r="B77" s="24"/>
      <c r="C77" s="62"/>
      <c r="D77" s="215"/>
      <c r="E77" s="215"/>
      <c r="F77" s="215"/>
      <c r="G77" s="17"/>
    </row>
    <row r="78" spans="2:7" ht="12.75">
      <c r="B78" s="24"/>
      <c r="C78" s="20"/>
      <c r="D78" s="20"/>
      <c r="E78" s="20"/>
      <c r="F78" s="20"/>
      <c r="G78" s="17"/>
    </row>
    <row r="79" spans="2:7" ht="13.5" thickBot="1">
      <c r="B79" s="208"/>
      <c r="C79" s="18"/>
      <c r="D79" s="18"/>
      <c r="E79" s="18"/>
      <c r="F79" s="18"/>
      <c r="G79" s="209"/>
    </row>
    <row r="81" ht="13.5" thickBot="1"/>
    <row r="82" spans="2:7" ht="12.75">
      <c r="B82" s="206"/>
      <c r="C82" s="113"/>
      <c r="D82" s="113"/>
      <c r="E82" s="113"/>
      <c r="F82" s="113"/>
      <c r="G82" s="207"/>
    </row>
    <row r="83" spans="2:7" ht="12.75">
      <c r="B83" s="24"/>
      <c r="C83" s="199" t="s">
        <v>245</v>
      </c>
      <c r="D83" s="20"/>
      <c r="E83" s="20"/>
      <c r="F83" s="20"/>
      <c r="G83" s="17"/>
    </row>
    <row r="84" spans="2:7" ht="12.75">
      <c r="B84" s="24"/>
      <c r="C84" s="20"/>
      <c r="D84" s="20"/>
      <c r="E84" s="20"/>
      <c r="F84" s="20"/>
      <c r="G84" s="17"/>
    </row>
    <row r="85" spans="2:7" ht="12.75">
      <c r="B85" s="24"/>
      <c r="C85" s="20" t="s">
        <v>243</v>
      </c>
      <c r="E85" s="20"/>
      <c r="F85" s="20"/>
      <c r="G85" s="17"/>
    </row>
    <row r="86" spans="2:7" ht="12.75">
      <c r="B86" s="24"/>
      <c r="C86" s="20" t="s">
        <v>244</v>
      </c>
      <c r="E86" s="20"/>
      <c r="F86" s="20"/>
      <c r="G86" s="17"/>
    </row>
    <row r="87" spans="2:7" ht="12.75">
      <c r="B87" s="24"/>
      <c r="C87" s="698" t="s">
        <v>246</v>
      </c>
      <c r="D87" s="698"/>
      <c r="E87" s="20"/>
      <c r="F87" s="20"/>
      <c r="G87" s="17"/>
    </row>
    <row r="88" spans="2:7" ht="12.75">
      <c r="B88" s="24"/>
      <c r="C88" s="698"/>
      <c r="D88" s="698"/>
      <c r="E88" s="20"/>
      <c r="F88" s="20"/>
      <c r="G88" s="17"/>
    </row>
    <row r="89" spans="2:7" ht="12.75">
      <c r="B89" s="24"/>
      <c r="C89" s="698"/>
      <c r="D89" s="698"/>
      <c r="E89" s="20"/>
      <c r="F89" s="20"/>
      <c r="G89" s="17"/>
    </row>
    <row r="90" spans="2:7" ht="12.75">
      <c r="B90" s="24"/>
      <c r="C90" s="698"/>
      <c r="D90" s="698"/>
      <c r="E90" s="20"/>
      <c r="F90" s="20"/>
      <c r="G90" s="17"/>
    </row>
    <row r="91" spans="2:7" ht="12.75">
      <c r="B91" s="24"/>
      <c r="C91" s="698"/>
      <c r="D91" s="698"/>
      <c r="E91" s="20"/>
      <c r="F91" s="20"/>
      <c r="G91" s="17"/>
    </row>
    <row r="92" spans="2:7" ht="12.75">
      <c r="B92" s="24"/>
      <c r="C92" s="698"/>
      <c r="D92" s="698"/>
      <c r="E92" s="20"/>
      <c r="F92" s="20"/>
      <c r="G92" s="17"/>
    </row>
    <row r="93" spans="2:7" ht="12.75">
      <c r="B93" s="24"/>
      <c r="C93" s="698"/>
      <c r="D93" s="698"/>
      <c r="E93" s="20"/>
      <c r="F93" s="20"/>
      <c r="G93" s="17"/>
    </row>
    <row r="94" spans="2:7" ht="13.5" thickBot="1">
      <c r="B94" s="208"/>
      <c r="C94" s="18"/>
      <c r="D94" s="18"/>
      <c r="E94" s="18"/>
      <c r="F94" s="18"/>
      <c r="G94" s="209"/>
    </row>
    <row r="98" s="111" customFormat="1" ht="12.75"/>
    <row r="99" s="111" customFormat="1" ht="13.5" thickBot="1"/>
    <row r="100" spans="3:14" s="111" customFormat="1" ht="27" customHeight="1" thickBot="1">
      <c r="C100" s="421" t="s">
        <v>263</v>
      </c>
      <c r="D100" s="673" t="s">
        <v>264</v>
      </c>
      <c r="E100" s="674"/>
      <c r="F100" s="674"/>
      <c r="G100" s="668"/>
      <c r="H100" s="432"/>
      <c r="L100" s="704" t="s">
        <v>263</v>
      </c>
      <c r="M100" s="704"/>
      <c r="N100" s="111" t="s">
        <v>483</v>
      </c>
    </row>
    <row r="101" spans="3:18" s="111" customFormat="1" ht="14.25" customHeight="1" thickBot="1">
      <c r="C101" s="422"/>
      <c r="D101" s="454">
        <v>2010</v>
      </c>
      <c r="E101" s="423">
        <v>2020</v>
      </c>
      <c r="F101" s="423">
        <v>2030</v>
      </c>
      <c r="G101" s="423">
        <v>2040</v>
      </c>
      <c r="H101" s="423">
        <v>2050</v>
      </c>
      <c r="I101" s="155" t="s">
        <v>283</v>
      </c>
      <c r="N101" s="111">
        <v>2010</v>
      </c>
      <c r="O101" s="111">
        <v>2020</v>
      </c>
      <c r="P101" s="111">
        <v>2030</v>
      </c>
      <c r="Q101" s="111">
        <v>2040</v>
      </c>
      <c r="R101" s="111">
        <v>2050</v>
      </c>
    </row>
    <row r="102" spans="3:20" s="111" customFormat="1" ht="14.25" customHeight="1" thickBot="1">
      <c r="C102" s="441" t="s">
        <v>280</v>
      </c>
      <c r="D102" s="148">
        <f>E4</f>
        <v>99209.55907490112</v>
      </c>
      <c r="E102" s="148">
        <f>F4</f>
        <v>103177.94143789716</v>
      </c>
      <c r="F102" s="148">
        <f>G4</f>
        <v>104209.72085227612</v>
      </c>
      <c r="G102" s="148">
        <f>H4</f>
        <v>103167.62364375337</v>
      </c>
      <c r="H102" s="148">
        <f>I4</f>
        <v>100072.59493444077</v>
      </c>
      <c r="I102" s="534">
        <v>22629</v>
      </c>
      <c r="L102" s="704" t="s">
        <v>280</v>
      </c>
      <c r="M102" s="704"/>
      <c r="N102" s="452">
        <v>99209.55907490112</v>
      </c>
      <c r="O102" s="452">
        <v>103177.94143789716</v>
      </c>
      <c r="P102" s="452">
        <v>104209.72085227612</v>
      </c>
      <c r="Q102" s="452">
        <v>103167.62364375337</v>
      </c>
      <c r="R102" s="452">
        <v>100072.59493444077</v>
      </c>
      <c r="S102" s="633" t="s">
        <v>490</v>
      </c>
      <c r="T102" s="111" t="s">
        <v>492</v>
      </c>
    </row>
    <row r="103" spans="2:20" s="431" customFormat="1" ht="43.5" customHeight="1" thickBot="1">
      <c r="B103" s="430"/>
      <c r="C103" s="424" t="s">
        <v>269</v>
      </c>
      <c r="D103" s="143">
        <f>D102</f>
        <v>99209.55907490112</v>
      </c>
      <c r="E103" s="425">
        <f>(F4-F7)</f>
        <v>81357.94143789716</v>
      </c>
      <c r="F103" s="425">
        <f>(G4-G7)</f>
        <v>60569.72085227612</v>
      </c>
      <c r="G103" s="425">
        <f>(H4-H7)</f>
        <v>37706.715910110186</v>
      </c>
      <c r="H103" s="425">
        <f>(I4-I7)</f>
        <v>34611.68720079759</v>
      </c>
      <c r="I103" s="534">
        <v>22629</v>
      </c>
      <c r="L103" s="705" t="s">
        <v>269</v>
      </c>
      <c r="M103" s="705"/>
      <c r="N103" s="667">
        <f>(N102-D103)</f>
        <v>0</v>
      </c>
      <c r="O103" s="667">
        <f>(O102-E103)</f>
        <v>21820</v>
      </c>
      <c r="P103" s="667">
        <f>(P102-F103)</f>
        <v>43640</v>
      </c>
      <c r="Q103" s="667">
        <f>(Q102-G103)</f>
        <v>65460.90773364318</v>
      </c>
      <c r="R103" s="667">
        <f>(R102-H103)</f>
        <v>65460.90773364318</v>
      </c>
      <c r="S103" s="634">
        <f>SUM(N103:R103)</f>
        <v>196381.81546728636</v>
      </c>
      <c r="T103" s="632">
        <f>SUM(N103:R106)</f>
        <v>243765.11546728638</v>
      </c>
    </row>
    <row r="104" spans="3:19" s="111" customFormat="1" ht="64.5" thickBot="1">
      <c r="C104" s="424" t="s">
        <v>270</v>
      </c>
      <c r="D104" s="143">
        <f>D103</f>
        <v>99209.55907490112</v>
      </c>
      <c r="E104" s="425">
        <f>(E103-F9)</f>
        <v>76695.94143789716</v>
      </c>
      <c r="F104" s="425">
        <f>(F103-G9)</f>
        <v>55907.72085227612</v>
      </c>
      <c r="G104" s="425">
        <f>(G103-H9)</f>
        <v>33044.715910110186</v>
      </c>
      <c r="H104" s="425">
        <f>(H103-I9)</f>
        <v>29949.68720079759</v>
      </c>
      <c r="I104" s="534">
        <v>22629</v>
      </c>
      <c r="L104" s="702" t="s">
        <v>270</v>
      </c>
      <c r="M104" s="702"/>
      <c r="N104" s="452">
        <f>(D103-D104)</f>
        <v>0</v>
      </c>
      <c r="O104" s="452">
        <f aca="true" t="shared" si="2" ref="O104:R106">(E103-E104)</f>
        <v>4662</v>
      </c>
      <c r="P104" s="452">
        <f t="shared" si="2"/>
        <v>4662</v>
      </c>
      <c r="Q104" s="452">
        <f t="shared" si="2"/>
        <v>4662</v>
      </c>
      <c r="R104" s="452">
        <f t="shared" si="2"/>
        <v>4662</v>
      </c>
      <c r="S104" s="634">
        <f>SUM(N104:R104)</f>
        <v>18648</v>
      </c>
    </row>
    <row r="105" spans="3:19" s="111" customFormat="1" ht="39" thickBot="1">
      <c r="C105" s="424" t="s">
        <v>271</v>
      </c>
      <c r="D105" s="143">
        <f>D104</f>
        <v>99209.55907490112</v>
      </c>
      <c r="E105" s="425">
        <f>(E104-(F8+F10))</f>
        <v>76695.94143789716</v>
      </c>
      <c r="F105" s="425">
        <f>(F104-(G8+G10))</f>
        <v>55856.12085227612</v>
      </c>
      <c r="G105" s="425">
        <f>(G104-(H8+H10))</f>
        <v>25848.115910110188</v>
      </c>
      <c r="H105" s="425">
        <f>(H104-(I8+I10))</f>
        <v>22753.087200797592</v>
      </c>
      <c r="I105" s="534">
        <v>22629</v>
      </c>
      <c r="L105" s="702" t="s">
        <v>271</v>
      </c>
      <c r="M105" s="702"/>
      <c r="N105" s="452">
        <f>(D104-D105)</f>
        <v>0</v>
      </c>
      <c r="O105" s="452">
        <f t="shared" si="2"/>
        <v>0</v>
      </c>
      <c r="P105" s="452">
        <f t="shared" si="2"/>
        <v>51.599999999998545</v>
      </c>
      <c r="Q105" s="452">
        <f t="shared" si="2"/>
        <v>7196.5999999999985</v>
      </c>
      <c r="R105" s="452">
        <f t="shared" si="2"/>
        <v>7196.5999999999985</v>
      </c>
      <c r="S105" s="634">
        <f>SUM(N105:R105)</f>
        <v>14444.799999999996</v>
      </c>
    </row>
    <row r="106" spans="3:19" s="111" customFormat="1" ht="39" thickBot="1">
      <c r="C106" s="424" t="s">
        <v>272</v>
      </c>
      <c r="D106" s="143">
        <f>D105</f>
        <v>99209.55907490112</v>
      </c>
      <c r="E106" s="425">
        <f>(E105-F11)</f>
        <v>71932.44143789716</v>
      </c>
      <c r="F106" s="425">
        <f>(F105-G11)</f>
        <v>51092.62085227612</v>
      </c>
      <c r="G106" s="425">
        <f>(G105-H11)</f>
        <v>23466.365910110188</v>
      </c>
      <c r="H106" s="425">
        <f>(H105-I11)</f>
        <v>20371.337200797592</v>
      </c>
      <c r="I106" s="534">
        <v>22629</v>
      </c>
      <c r="L106" s="702" t="s">
        <v>272</v>
      </c>
      <c r="M106" s="702"/>
      <c r="N106" s="452">
        <f>(D105-D106)</f>
        <v>0</v>
      </c>
      <c r="O106" s="452">
        <f t="shared" si="2"/>
        <v>4763.5</v>
      </c>
      <c r="P106" s="452">
        <f t="shared" si="2"/>
        <v>4763.5</v>
      </c>
      <c r="Q106" s="452">
        <f t="shared" si="2"/>
        <v>2381.75</v>
      </c>
      <c r="R106" s="452">
        <f t="shared" si="2"/>
        <v>2381.75</v>
      </c>
      <c r="S106" s="634">
        <f>SUM(N106:R106)</f>
        <v>14290.5</v>
      </c>
    </row>
    <row r="107" spans="3:9" s="111" customFormat="1" ht="26.25" thickBot="1">
      <c r="C107" s="426" t="s">
        <v>265</v>
      </c>
      <c r="D107" s="143">
        <f>D106</f>
        <v>99209.55907490112</v>
      </c>
      <c r="E107" s="427">
        <f>E106</f>
        <v>71932.44143789716</v>
      </c>
      <c r="F107" s="427">
        <f>F106</f>
        <v>51092.62085227612</v>
      </c>
      <c r="G107" s="427">
        <f>G106</f>
        <v>23466.365910110188</v>
      </c>
      <c r="H107" s="427">
        <f>H106</f>
        <v>20371.337200797592</v>
      </c>
      <c r="I107" s="534">
        <v>22629</v>
      </c>
    </row>
    <row r="108" spans="3:8" s="111" customFormat="1" ht="13.5" thickBot="1">
      <c r="C108" s="429"/>
      <c r="D108" s="143"/>
      <c r="E108" s="435"/>
      <c r="F108" s="435"/>
      <c r="G108" s="435"/>
      <c r="H108" s="439"/>
    </row>
    <row r="109" s="111" customFormat="1" ht="12.75"/>
    <row r="110" spans="3:7" s="111" customFormat="1" ht="27" customHeight="1">
      <c r="C110" s="459"/>
      <c r="D110" s="703"/>
      <c r="E110" s="703"/>
      <c r="F110" s="703"/>
      <c r="G110" s="703"/>
    </row>
    <row r="111" spans="3:7" ht="12.75">
      <c r="C111" s="460"/>
      <c r="D111" s="451"/>
      <c r="E111" s="451"/>
      <c r="F111" s="451"/>
      <c r="G111" s="451"/>
    </row>
    <row r="112" spans="3:7" s="111" customFormat="1" ht="12.75">
      <c r="C112" s="437"/>
      <c r="D112" s="428"/>
      <c r="E112" s="428"/>
      <c r="F112" s="428"/>
      <c r="G112" s="428"/>
    </row>
    <row r="113" spans="3:7" s="111" customFormat="1" ht="12.75">
      <c r="C113" s="437"/>
      <c r="D113" s="428"/>
      <c r="E113" s="428"/>
      <c r="F113" s="428"/>
      <c r="G113" s="428"/>
    </row>
    <row r="114" spans="3:7" s="111" customFormat="1" ht="12.75">
      <c r="C114" s="437"/>
      <c r="D114" s="428"/>
      <c r="E114" s="428"/>
      <c r="F114" s="428"/>
      <c r="G114" s="428"/>
    </row>
    <row r="115" spans="3:7" s="111" customFormat="1" ht="12.75">
      <c r="C115" s="437"/>
      <c r="D115" s="428"/>
      <c r="E115" s="428"/>
      <c r="F115" s="428"/>
      <c r="G115" s="428"/>
    </row>
    <row r="116" spans="3:7" s="111" customFormat="1" ht="12.75">
      <c r="C116" s="460"/>
      <c r="D116" s="461"/>
      <c r="E116" s="461"/>
      <c r="F116" s="461"/>
      <c r="G116" s="462"/>
    </row>
    <row r="117" spans="3:7" s="111" customFormat="1" ht="13.5" thickBot="1">
      <c r="C117" s="433"/>
      <c r="D117" s="434"/>
      <c r="E117" s="434"/>
      <c r="F117" s="434"/>
      <c r="G117" s="434"/>
    </row>
    <row r="118" spans="3:7" s="111" customFormat="1" ht="13.5" thickBot="1">
      <c r="C118" s="433"/>
      <c r="D118" s="434"/>
      <c r="E118" s="434"/>
      <c r="F118" s="434"/>
      <c r="G118" s="434"/>
    </row>
    <row r="119" spans="3:7" s="111" customFormat="1" ht="13.5" thickBot="1">
      <c r="C119" s="429"/>
      <c r="D119" s="435"/>
      <c r="E119" s="435"/>
      <c r="F119" s="435"/>
      <c r="G119" s="435"/>
    </row>
    <row r="120" s="111" customFormat="1" ht="12.75"/>
    <row r="121" s="111" customFormat="1" ht="12.75"/>
    <row r="122" s="111" customFormat="1" ht="12.75"/>
  </sheetData>
  <mergeCells count="13">
    <mergeCell ref="L105:M105"/>
    <mergeCell ref="L106:M106"/>
    <mergeCell ref="D100:G100"/>
    <mergeCell ref="D110:G110"/>
    <mergeCell ref="L102:M102"/>
    <mergeCell ref="L100:M100"/>
    <mergeCell ref="L103:M103"/>
    <mergeCell ref="L104:M104"/>
    <mergeCell ref="D2:J2"/>
    <mergeCell ref="C15:C28"/>
    <mergeCell ref="E15:K27"/>
    <mergeCell ref="C87:D93"/>
    <mergeCell ref="B49:G49"/>
  </mergeCells>
  <conditionalFormatting sqref="Q12">
    <cfRule type="cellIs" priority="1" dxfId="0" operator="lessThan" stopIfTrue="1">
      <formula>$N$4</formula>
    </cfRule>
    <cfRule type="cellIs" priority="2" dxfId="1" operator="greaterThan" stopIfTrue="1">
      <formula>$N$4</formula>
    </cfRule>
  </conditionalFormatting>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2:W132"/>
  <sheetViews>
    <sheetView workbookViewId="0" topLeftCell="F52">
      <selection activeCell="L69" sqref="L69:M69"/>
    </sheetView>
  </sheetViews>
  <sheetFormatPr defaultColWidth="9.140625" defaultRowHeight="12.75"/>
  <cols>
    <col min="3" max="3" width="38.140625" style="0" customWidth="1"/>
    <col min="4" max="4" width="14.00390625" style="0" customWidth="1"/>
    <col min="5" max="5" width="14.28125" style="0" customWidth="1"/>
    <col min="6" max="6" width="13.140625" style="0" customWidth="1"/>
    <col min="7" max="7" width="12.57421875" style="0" customWidth="1"/>
    <col min="8" max="8" width="11.421875" style="0" customWidth="1"/>
    <col min="9" max="9" width="13.140625" style="0" customWidth="1"/>
    <col min="13" max="13" width="12.8515625" style="0" customWidth="1"/>
  </cols>
  <sheetData>
    <row r="2" spans="2:10" ht="13.5" thickBot="1">
      <c r="B2" s="55"/>
      <c r="C2" s="182" t="s">
        <v>105</v>
      </c>
      <c r="D2" s="670"/>
      <c r="E2" s="670"/>
      <c r="F2" s="670"/>
      <c r="G2" s="670"/>
      <c r="H2" s="670"/>
      <c r="I2" s="670"/>
      <c r="J2" s="670"/>
    </row>
    <row r="3" spans="2:14" ht="52.5" thickBot="1" thickTop="1">
      <c r="B3" s="182"/>
      <c r="C3" s="183" t="s">
        <v>59</v>
      </c>
      <c r="D3" s="186" t="s">
        <v>66</v>
      </c>
      <c r="E3" s="187" t="s">
        <v>90</v>
      </c>
      <c r="F3" s="187">
        <v>2020</v>
      </c>
      <c r="G3" s="187">
        <v>2030</v>
      </c>
      <c r="H3" s="187">
        <v>2040</v>
      </c>
      <c r="I3" s="187">
        <v>2050</v>
      </c>
      <c r="J3" s="188" t="s">
        <v>106</v>
      </c>
      <c r="M3" s="706" t="s">
        <v>461</v>
      </c>
      <c r="N3" s="706"/>
    </row>
    <row r="4" spans="2:10" ht="13.5" thickTop="1">
      <c r="B4" s="196" t="s">
        <v>1</v>
      </c>
      <c r="C4" s="356" t="s">
        <v>76</v>
      </c>
      <c r="D4" s="230">
        <v>36548.57229589491</v>
      </c>
      <c r="E4" s="230">
        <v>46936.874460666666</v>
      </c>
      <c r="F4" s="230">
        <f>(E4)+(0.01*E4)</f>
        <v>47406.243205273335</v>
      </c>
      <c r="G4" s="230">
        <f>(F4)</f>
        <v>47406.243205273335</v>
      </c>
      <c r="H4" s="230">
        <f>(G4)-(G4*0.03)</f>
        <v>45984.05590911514</v>
      </c>
      <c r="I4" s="230">
        <f>(H4)-(H4*0.05)</f>
        <v>43684.85311365938</v>
      </c>
      <c r="J4" s="231">
        <f>D4*0.2</f>
        <v>7309.714459178983</v>
      </c>
    </row>
    <row r="5" spans="2:10" ht="12.75">
      <c r="B5" s="190" t="s">
        <v>4</v>
      </c>
      <c r="C5" s="357" t="s">
        <v>163</v>
      </c>
      <c r="D5" s="89">
        <v>62234.21174181034</v>
      </c>
      <c r="E5" s="89">
        <v>53637.440870135666</v>
      </c>
      <c r="F5" s="89">
        <f>(E5)+(0.01*E5)</f>
        <v>54173.81527883702</v>
      </c>
      <c r="G5" s="89">
        <f>(F5)</f>
        <v>54173.81527883702</v>
      </c>
      <c r="H5" s="89">
        <f>(G5)-(G5*0.03)</f>
        <v>52548.60082047191</v>
      </c>
      <c r="I5" s="89">
        <f>(H5)-(H5*0.05)</f>
        <v>49921.170779448315</v>
      </c>
      <c r="J5" s="189">
        <f>D5*0.2</f>
        <v>12446.842348362068</v>
      </c>
    </row>
    <row r="6" spans="2:10" ht="12.75">
      <c r="B6" s="20"/>
      <c r="C6" s="210" t="s">
        <v>215</v>
      </c>
      <c r="D6" s="358">
        <f aca="true" t="shared" si="0" ref="D6:J6">(D4+D5)</f>
        <v>98782.78403770525</v>
      </c>
      <c r="E6" s="358">
        <f t="shared" si="0"/>
        <v>100574.31533080233</v>
      </c>
      <c r="F6" s="358">
        <f t="shared" si="0"/>
        <v>101580.05848411036</v>
      </c>
      <c r="G6" s="358">
        <f t="shared" si="0"/>
        <v>101580.05848411036</v>
      </c>
      <c r="H6" s="358">
        <f t="shared" si="0"/>
        <v>98532.65672958705</v>
      </c>
      <c r="I6" s="358">
        <f t="shared" si="0"/>
        <v>93606.02389310769</v>
      </c>
      <c r="J6" s="358">
        <f t="shared" si="0"/>
        <v>19756.556807541052</v>
      </c>
    </row>
    <row r="7" spans="2:10" ht="12.75">
      <c r="B7" s="20"/>
      <c r="C7" s="193"/>
      <c r="D7" s="364"/>
      <c r="E7" s="364"/>
      <c r="F7" s="364"/>
      <c r="G7" s="364"/>
      <c r="H7" s="364"/>
      <c r="I7" s="364"/>
      <c r="J7" s="364"/>
    </row>
    <row r="8" spans="3:12" ht="12.75">
      <c r="C8" s="210" t="s">
        <v>127</v>
      </c>
      <c r="L8" s="145"/>
    </row>
    <row r="9" spans="3:12" ht="12.75">
      <c r="C9" s="193" t="s">
        <v>220</v>
      </c>
      <c r="F9" s="63">
        <f>D49</f>
        <v>587.2581625000003</v>
      </c>
      <c r="G9" s="63">
        <f>D50</f>
        <v>1174.516325</v>
      </c>
      <c r="H9" s="63">
        <f>D51</f>
        <v>1174.516325</v>
      </c>
      <c r="I9" s="63">
        <f>D52</f>
        <v>1174.516325</v>
      </c>
      <c r="L9" s="145"/>
    </row>
    <row r="10" spans="3:9" ht="12.75">
      <c r="C10" s="193" t="s">
        <v>226</v>
      </c>
      <c r="F10" s="63">
        <f>(F6-E59)</f>
        <v>24839.97615073633</v>
      </c>
      <c r="G10" s="63">
        <f>(G6-E60)</f>
        <v>32513.98438407373</v>
      </c>
      <c r="H10" s="63">
        <f>(H6-E61)</f>
        <v>36373.19003955409</v>
      </c>
      <c r="I10" s="63">
        <f>(I6-E62)</f>
        <v>37662.50387207803</v>
      </c>
    </row>
    <row r="11" ht="13.5" thickBot="1"/>
    <row r="12" spans="2:14" ht="39" thickBot="1">
      <c r="B12" s="246"/>
      <c r="C12" s="246" t="s">
        <v>407</v>
      </c>
      <c r="F12" s="374"/>
      <c r="G12" s="374"/>
      <c r="H12" s="374"/>
      <c r="I12" s="374"/>
      <c r="K12" s="343" t="s">
        <v>194</v>
      </c>
      <c r="L12" s="344"/>
      <c r="M12" s="349" t="s">
        <v>192</v>
      </c>
      <c r="N12" s="345" t="s">
        <v>193</v>
      </c>
    </row>
    <row r="13" spans="3:14" ht="26.25" thickBot="1">
      <c r="C13" s="255" t="s">
        <v>175</v>
      </c>
      <c r="D13" s="373">
        <f aca="true" t="shared" si="1" ref="D13:I13">SUM(D9:D12)</f>
        <v>0</v>
      </c>
      <c r="E13" s="373">
        <f t="shared" si="1"/>
        <v>0</v>
      </c>
      <c r="F13" s="373">
        <f t="shared" si="1"/>
        <v>25427.23431323633</v>
      </c>
      <c r="G13" s="373">
        <f t="shared" si="1"/>
        <v>33688.50070907373</v>
      </c>
      <c r="H13" s="373">
        <f t="shared" si="1"/>
        <v>37547.706364554084</v>
      </c>
      <c r="I13" s="373">
        <f t="shared" si="1"/>
        <v>38837.020197078025</v>
      </c>
      <c r="K13" s="346" t="s">
        <v>191</v>
      </c>
      <c r="L13" s="347"/>
      <c r="M13" s="348">
        <f>D14-I14</f>
        <v>44013.780341675585</v>
      </c>
      <c r="N13" s="351">
        <f>M13/D14</f>
        <v>0.44556124602517366</v>
      </c>
    </row>
    <row r="14" spans="3:9" ht="26.25" thickBot="1">
      <c r="C14" s="275" t="s">
        <v>161</v>
      </c>
      <c r="D14" s="276">
        <f aca="true" t="shared" si="2" ref="D14:I14">D6-D13</f>
        <v>98782.78403770525</v>
      </c>
      <c r="E14" s="276">
        <f t="shared" si="2"/>
        <v>100574.31533080233</v>
      </c>
      <c r="F14" s="276">
        <f t="shared" si="2"/>
        <v>76152.82417087402</v>
      </c>
      <c r="G14" s="276">
        <f t="shared" si="2"/>
        <v>67891.55777503664</v>
      </c>
      <c r="H14" s="276">
        <f t="shared" si="2"/>
        <v>60984.950365032964</v>
      </c>
      <c r="I14" s="276">
        <f t="shared" si="2"/>
        <v>54769.003696029664</v>
      </c>
    </row>
    <row r="15" ht="13.5" thickBot="1"/>
    <row r="16" spans="3:11" ht="12.75">
      <c r="C16" s="707" t="s">
        <v>224</v>
      </c>
      <c r="E16" s="710" t="s">
        <v>225</v>
      </c>
      <c r="F16" s="711"/>
      <c r="G16" s="711"/>
      <c r="H16" s="711"/>
      <c r="I16" s="711"/>
      <c r="J16" s="711"/>
      <c r="K16" s="712"/>
    </row>
    <row r="17" spans="3:11" ht="12.75">
      <c r="C17" s="708"/>
      <c r="E17" s="713"/>
      <c r="F17" s="686"/>
      <c r="G17" s="686"/>
      <c r="H17" s="686"/>
      <c r="I17" s="686"/>
      <c r="J17" s="686"/>
      <c r="K17" s="714"/>
    </row>
    <row r="18" spans="3:11" ht="12.75">
      <c r="C18" s="708"/>
      <c r="E18" s="713"/>
      <c r="F18" s="686"/>
      <c r="G18" s="686"/>
      <c r="H18" s="686"/>
      <c r="I18" s="686"/>
      <c r="J18" s="686"/>
      <c r="K18" s="714"/>
    </row>
    <row r="19" spans="3:11" ht="12.75">
      <c r="C19" s="708"/>
      <c r="E19" s="713"/>
      <c r="F19" s="686"/>
      <c r="G19" s="686"/>
      <c r="H19" s="686"/>
      <c r="I19" s="686"/>
      <c r="J19" s="686"/>
      <c r="K19" s="714"/>
    </row>
    <row r="20" spans="3:11" ht="12.75">
      <c r="C20" s="708"/>
      <c r="E20" s="713"/>
      <c r="F20" s="686"/>
      <c r="G20" s="686"/>
      <c r="H20" s="686"/>
      <c r="I20" s="686"/>
      <c r="J20" s="686"/>
      <c r="K20" s="714"/>
    </row>
    <row r="21" spans="3:13" ht="12.75">
      <c r="C21" s="708"/>
      <c r="E21" s="713"/>
      <c r="F21" s="686"/>
      <c r="G21" s="686"/>
      <c r="H21" s="686"/>
      <c r="I21" s="686"/>
      <c r="J21" s="686"/>
      <c r="K21" s="714"/>
      <c r="M21" t="s">
        <v>221</v>
      </c>
    </row>
    <row r="22" spans="3:14" ht="12.75">
      <c r="C22" s="708"/>
      <c r="E22" s="713"/>
      <c r="F22" s="686"/>
      <c r="G22" s="686"/>
      <c r="H22" s="686"/>
      <c r="I22" s="686"/>
      <c r="J22" s="686"/>
      <c r="K22" s="714"/>
      <c r="M22" s="372">
        <f>(F41/E6)*100</f>
        <v>11.678094164865643</v>
      </c>
      <c r="N22" t="s">
        <v>222</v>
      </c>
    </row>
    <row r="23" spans="3:11" ht="12.75">
      <c r="C23" s="708"/>
      <c r="E23" s="713"/>
      <c r="F23" s="686"/>
      <c r="G23" s="686"/>
      <c r="H23" s="686"/>
      <c r="I23" s="686"/>
      <c r="J23" s="686"/>
      <c r="K23" s="714"/>
    </row>
    <row r="24" spans="3:11" ht="12.75">
      <c r="C24" s="708"/>
      <c r="E24" s="713"/>
      <c r="F24" s="686"/>
      <c r="G24" s="686"/>
      <c r="H24" s="686"/>
      <c r="I24" s="686"/>
      <c r="J24" s="686"/>
      <c r="K24" s="714"/>
    </row>
    <row r="25" spans="3:11" ht="12.75">
      <c r="C25" s="708"/>
      <c r="E25" s="713"/>
      <c r="F25" s="686"/>
      <c r="G25" s="686"/>
      <c r="H25" s="686"/>
      <c r="I25" s="686"/>
      <c r="J25" s="686"/>
      <c r="K25" s="714"/>
    </row>
    <row r="26" spans="3:11" ht="12.75">
      <c r="C26" s="708"/>
      <c r="E26" s="713"/>
      <c r="F26" s="686"/>
      <c r="G26" s="686"/>
      <c r="H26" s="686"/>
      <c r="I26" s="686"/>
      <c r="J26" s="686"/>
      <c r="K26" s="714"/>
    </row>
    <row r="27" spans="3:11" ht="12.75">
      <c r="C27" s="708"/>
      <c r="E27" s="713"/>
      <c r="F27" s="686"/>
      <c r="G27" s="686"/>
      <c r="H27" s="686"/>
      <c r="I27" s="686"/>
      <c r="J27" s="686"/>
      <c r="K27" s="714"/>
    </row>
    <row r="28" spans="3:11" ht="13.5" thickBot="1">
      <c r="C28" s="708"/>
      <c r="E28" s="715"/>
      <c r="F28" s="716"/>
      <c r="G28" s="716"/>
      <c r="H28" s="716"/>
      <c r="I28" s="716"/>
      <c r="J28" s="716"/>
      <c r="K28" s="717"/>
    </row>
    <row r="29" ht="13.5" thickBot="1">
      <c r="C29" s="709"/>
    </row>
    <row r="32" ht="13.5" thickBot="1"/>
    <row r="33" spans="2:9" ht="12.75">
      <c r="B33" s="206"/>
      <c r="C33" s="227" t="s">
        <v>204</v>
      </c>
      <c r="D33" s="113"/>
      <c r="E33" s="113"/>
      <c r="F33" s="113"/>
      <c r="G33" s="113"/>
      <c r="H33" s="113"/>
      <c r="I33" s="207"/>
    </row>
    <row r="34" spans="2:9" ht="12.75">
      <c r="B34" s="24"/>
      <c r="C34" s="20"/>
      <c r="D34" s="20"/>
      <c r="E34" s="20"/>
      <c r="F34" s="20"/>
      <c r="G34" s="20"/>
      <c r="H34" s="20"/>
      <c r="I34" s="17"/>
    </row>
    <row r="35" spans="2:11" ht="12.75">
      <c r="B35" s="24"/>
      <c r="C35" s="248" t="s">
        <v>200</v>
      </c>
      <c r="D35" s="195"/>
      <c r="E35" s="195"/>
      <c r="F35" s="195"/>
      <c r="G35" s="195"/>
      <c r="H35" s="195"/>
      <c r="I35" s="359"/>
      <c r="J35" s="145"/>
      <c r="K35" s="145"/>
    </row>
    <row r="36" spans="2:11" ht="12.75">
      <c r="B36" s="24"/>
      <c r="C36" s="248" t="s">
        <v>208</v>
      </c>
      <c r="D36" s="195"/>
      <c r="E36" s="195"/>
      <c r="F36" s="195"/>
      <c r="G36" s="195"/>
      <c r="H36" s="195"/>
      <c r="I36" s="359"/>
      <c r="J36" s="145"/>
      <c r="K36" s="145"/>
    </row>
    <row r="37" spans="2:11" ht="12.75">
      <c r="B37" s="24"/>
      <c r="C37" s="248"/>
      <c r="D37" s="195"/>
      <c r="E37" s="195"/>
      <c r="F37" s="195"/>
      <c r="G37" s="195"/>
      <c r="H37" s="195"/>
      <c r="I37" s="359"/>
      <c r="J37" s="145"/>
      <c r="K37" s="145"/>
    </row>
    <row r="38" spans="2:11" ht="12.75">
      <c r="B38" s="24"/>
      <c r="C38" s="248" t="s">
        <v>197</v>
      </c>
      <c r="D38" s="195" t="s">
        <v>205</v>
      </c>
      <c r="E38" s="195" t="s">
        <v>206</v>
      </c>
      <c r="F38" s="195" t="s">
        <v>207</v>
      </c>
      <c r="G38" s="195"/>
      <c r="H38" s="195"/>
      <c r="I38" s="359"/>
      <c r="J38" s="145"/>
      <c r="K38" s="145"/>
    </row>
    <row r="39" spans="2:11" ht="12.75">
      <c r="B39" s="24"/>
      <c r="C39" s="248" t="s">
        <v>198</v>
      </c>
      <c r="D39" s="195">
        <v>3655.1</v>
      </c>
      <c r="E39" s="195" t="s">
        <v>202</v>
      </c>
      <c r="F39" s="248">
        <f>(((D39*1000)*10.9)*0.25)/1000</f>
        <v>9960.1475</v>
      </c>
      <c r="G39" s="195"/>
      <c r="H39" s="195"/>
      <c r="I39" s="359"/>
      <c r="J39" s="145"/>
      <c r="K39" s="145"/>
    </row>
    <row r="40" spans="2:11" ht="12.75">
      <c r="B40" s="24"/>
      <c r="C40" s="360" t="s">
        <v>199</v>
      </c>
      <c r="D40" s="195">
        <v>693.21</v>
      </c>
      <c r="E40" s="195" t="s">
        <v>202</v>
      </c>
      <c r="F40" s="248">
        <f>(((D40*1000)*10.3)*0.25)/1000</f>
        <v>1785.0157500000003</v>
      </c>
      <c r="G40" s="195"/>
      <c r="H40" s="195"/>
      <c r="I40" s="359"/>
      <c r="J40" s="145"/>
      <c r="K40" s="145"/>
    </row>
    <row r="41" spans="2:11" ht="12.75">
      <c r="B41" s="24"/>
      <c r="C41" s="360" t="s">
        <v>217</v>
      </c>
      <c r="D41" s="195"/>
      <c r="E41" s="195"/>
      <c r="F41" s="248">
        <f>(F39+F40)</f>
        <v>11745.16325</v>
      </c>
      <c r="G41" s="195" t="s">
        <v>218</v>
      </c>
      <c r="H41" s="195"/>
      <c r="I41" s="359"/>
      <c r="J41" s="145"/>
      <c r="K41" s="145"/>
    </row>
    <row r="42" spans="2:11" ht="12.75">
      <c r="B42" s="24"/>
      <c r="C42" s="361" t="s">
        <v>209</v>
      </c>
      <c r="D42" s="362" t="s">
        <v>201</v>
      </c>
      <c r="E42" s="363" t="s">
        <v>203</v>
      </c>
      <c r="F42" s="362" t="s">
        <v>210</v>
      </c>
      <c r="G42" s="195"/>
      <c r="H42" s="195"/>
      <c r="I42" s="359"/>
      <c r="J42" s="145"/>
      <c r="K42" s="145"/>
    </row>
    <row r="43" spans="2:11" ht="12.75">
      <c r="B43" s="24"/>
      <c r="C43" s="353"/>
      <c r="D43" s="354"/>
      <c r="E43" s="211"/>
      <c r="F43" s="354"/>
      <c r="G43" s="211"/>
      <c r="H43" s="211"/>
      <c r="I43" s="352"/>
      <c r="J43" s="145"/>
      <c r="K43" s="145"/>
    </row>
    <row r="44" spans="2:11" ht="12.75">
      <c r="B44" s="24"/>
      <c r="C44" s="365" t="s">
        <v>213</v>
      </c>
      <c r="D44" s="366"/>
      <c r="E44" s="195"/>
      <c r="F44" s="366"/>
      <c r="G44" s="195"/>
      <c r="H44" s="211"/>
      <c r="I44" s="352"/>
      <c r="J44" s="145"/>
      <c r="K44" s="145"/>
    </row>
    <row r="45" spans="2:11" ht="12.75">
      <c r="B45" s="24"/>
      <c r="C45" s="365"/>
      <c r="D45" s="366"/>
      <c r="E45" s="195"/>
      <c r="F45" s="366"/>
      <c r="G45" s="195"/>
      <c r="H45" s="211"/>
      <c r="I45" s="352"/>
      <c r="J45" s="145"/>
      <c r="K45" s="145"/>
    </row>
    <row r="46" spans="2:11" ht="12.75">
      <c r="B46" s="24"/>
      <c r="C46" s="365" t="s">
        <v>214</v>
      </c>
      <c r="D46" s="366"/>
      <c r="E46" s="195"/>
      <c r="F46" s="366"/>
      <c r="G46" s="195"/>
      <c r="H46" s="211"/>
      <c r="I46" s="352"/>
      <c r="J46" s="145"/>
      <c r="K46" s="145"/>
    </row>
    <row r="47" spans="2:11" ht="12.75">
      <c r="B47" s="24"/>
      <c r="C47" s="365"/>
      <c r="D47" s="366"/>
      <c r="E47" s="195"/>
      <c r="F47" s="366"/>
      <c r="G47" s="195"/>
      <c r="H47" s="211"/>
      <c r="I47" s="352"/>
      <c r="J47" s="145"/>
      <c r="K47" s="145"/>
    </row>
    <row r="48" spans="2:11" ht="12.75">
      <c r="B48" s="24"/>
      <c r="C48" s="365"/>
      <c r="D48" s="366" t="s">
        <v>219</v>
      </c>
      <c r="E48" s="195" t="s">
        <v>104</v>
      </c>
      <c r="F48" s="366"/>
      <c r="G48" s="195"/>
      <c r="H48" s="211"/>
      <c r="I48" s="352"/>
      <c r="J48" s="145"/>
      <c r="K48" s="145"/>
    </row>
    <row r="49" spans="2:11" ht="12.75">
      <c r="B49" s="24"/>
      <c r="C49" s="367">
        <v>2020</v>
      </c>
      <c r="D49" s="365">
        <f>(F41-(F41*0.1))-(F41-(0.15*F41))</f>
        <v>587.2581625000003</v>
      </c>
      <c r="E49" s="368" t="s">
        <v>460</v>
      </c>
      <c r="F49" s="366"/>
      <c r="G49" s="195"/>
      <c r="H49" s="211"/>
      <c r="I49" s="352"/>
      <c r="J49" s="145"/>
      <c r="K49" s="145"/>
    </row>
    <row r="50" spans="2:11" ht="12.75">
      <c r="B50" s="24"/>
      <c r="C50" s="367">
        <v>2030</v>
      </c>
      <c r="D50" s="365">
        <f>(F41*0.1)</f>
        <v>1174.516325</v>
      </c>
      <c r="E50" s="195" t="s">
        <v>459</v>
      </c>
      <c r="F50" s="366"/>
      <c r="G50" s="195"/>
      <c r="H50" s="211"/>
      <c r="I50" s="352"/>
      <c r="J50" s="145"/>
      <c r="K50" s="145"/>
    </row>
    <row r="51" spans="2:11" ht="12.75">
      <c r="B51" s="24"/>
      <c r="C51" s="367">
        <v>2040</v>
      </c>
      <c r="D51" s="365">
        <f>D50</f>
        <v>1174.516325</v>
      </c>
      <c r="E51" s="195"/>
      <c r="F51" s="366"/>
      <c r="G51" s="195"/>
      <c r="H51" s="211"/>
      <c r="I51" s="352"/>
      <c r="J51" s="145"/>
      <c r="K51" s="145"/>
    </row>
    <row r="52" spans="2:9" ht="13.5" thickBot="1">
      <c r="B52" s="208"/>
      <c r="C52" s="369">
        <v>2050</v>
      </c>
      <c r="D52" s="371">
        <f>D50</f>
        <v>1174.516325</v>
      </c>
      <c r="E52" s="370"/>
      <c r="F52" s="370"/>
      <c r="G52" s="370"/>
      <c r="H52" s="18"/>
      <c r="I52" s="209"/>
    </row>
    <row r="54" ht="13.5" thickBot="1"/>
    <row r="55" spans="2:7" ht="12.75">
      <c r="B55" s="206"/>
      <c r="C55" s="227" t="s">
        <v>256</v>
      </c>
      <c r="D55" s="113"/>
      <c r="E55" s="113"/>
      <c r="F55" s="113"/>
      <c r="G55" s="207"/>
    </row>
    <row r="56" spans="2:7" ht="12.75">
      <c r="B56" s="24"/>
      <c r="C56" s="20"/>
      <c r="D56" s="20"/>
      <c r="E56" s="20"/>
      <c r="F56" s="20"/>
      <c r="G56" s="17"/>
    </row>
    <row r="57" spans="2:7" ht="12.75">
      <c r="B57" s="24"/>
      <c r="C57" s="20" t="s">
        <v>211</v>
      </c>
      <c r="D57" s="20"/>
      <c r="E57" s="20"/>
      <c r="F57" s="20"/>
      <c r="G57" s="17"/>
    </row>
    <row r="58" spans="2:7" ht="51">
      <c r="B58" s="24"/>
      <c r="C58" s="20"/>
      <c r="D58" s="20" t="s">
        <v>212</v>
      </c>
      <c r="E58" s="62" t="s">
        <v>223</v>
      </c>
      <c r="F58" s="20"/>
      <c r="G58" s="17"/>
    </row>
    <row r="59" spans="2:7" ht="12.75">
      <c r="B59" s="24"/>
      <c r="C59" s="195">
        <v>2020</v>
      </c>
      <c r="D59" s="248">
        <f>F6-((F6*0.117)-D49)</f>
        <v>90282.44980396944</v>
      </c>
      <c r="E59" s="248">
        <f>(D59-(D59*0.15))</f>
        <v>76740.08233337403</v>
      </c>
      <c r="F59" s="211"/>
      <c r="G59" s="352"/>
    </row>
    <row r="60" spans="2:7" ht="12.75">
      <c r="B60" s="24"/>
      <c r="C60" s="195">
        <v>2030</v>
      </c>
      <c r="D60" s="248">
        <f>G6-((G6*0.117)-D50)</f>
        <v>90869.70796646945</v>
      </c>
      <c r="E60" s="248">
        <f>(E59-(E59*0.1))</f>
        <v>69066.07410003663</v>
      </c>
      <c r="F60" s="211"/>
      <c r="G60" s="352"/>
    </row>
    <row r="61" spans="2:7" ht="12.75">
      <c r="B61" s="24"/>
      <c r="C61" s="195">
        <v>2040</v>
      </c>
      <c r="D61" s="248">
        <f>H6-((H6*0.117)-D51)</f>
        <v>88178.85221722536</v>
      </c>
      <c r="E61" s="248">
        <f>(E60-(E60*0.1))</f>
        <v>62159.46669003296</v>
      </c>
      <c r="F61" s="211"/>
      <c r="G61" s="352"/>
    </row>
    <row r="62" spans="2:7" ht="12.75">
      <c r="B62" s="24"/>
      <c r="C62" s="195">
        <v>2050</v>
      </c>
      <c r="D62" s="248">
        <f>I6-((I6*0.117)-D52)</f>
        <v>83828.63542261408</v>
      </c>
      <c r="E62" s="248">
        <f>(E61-(E61*0.1))</f>
        <v>55943.52002102966</v>
      </c>
      <c r="F62" s="211"/>
      <c r="G62" s="352"/>
    </row>
    <row r="63" spans="2:7" ht="13.5" thickBot="1">
      <c r="B63" s="208"/>
      <c r="C63" s="251"/>
      <c r="D63" s="251"/>
      <c r="E63" s="251"/>
      <c r="F63" s="251"/>
      <c r="G63" s="355"/>
    </row>
    <row r="65" spans="1:8" ht="12.75">
      <c r="A65" s="20"/>
      <c r="B65" s="20"/>
      <c r="C65" s="20"/>
      <c r="D65" s="20"/>
      <c r="E65" s="20"/>
      <c r="F65" s="20"/>
      <c r="G65" s="20"/>
      <c r="H65" s="20"/>
    </row>
    <row r="66" spans="1:8" ht="13.5" thickBot="1">
      <c r="A66" s="20"/>
      <c r="B66" s="20"/>
      <c r="C66" s="199"/>
      <c r="D66" s="20"/>
      <c r="E66" s="20"/>
      <c r="F66" s="20"/>
      <c r="G66" s="20"/>
      <c r="H66" s="20"/>
    </row>
    <row r="67" spans="1:14" ht="27" customHeight="1" thickBot="1">
      <c r="A67" s="20"/>
      <c r="B67" s="20"/>
      <c r="C67" s="421" t="s">
        <v>263</v>
      </c>
      <c r="D67" s="673" t="s">
        <v>264</v>
      </c>
      <c r="E67" s="674"/>
      <c r="F67" s="674"/>
      <c r="G67" s="668"/>
      <c r="H67" s="20"/>
      <c r="M67" t="s">
        <v>263</v>
      </c>
      <c r="N67" t="s">
        <v>483</v>
      </c>
    </row>
    <row r="68" spans="1:20" ht="13.5" thickBot="1">
      <c r="A68" s="20"/>
      <c r="B68" s="20"/>
      <c r="C68" s="422"/>
      <c r="D68" s="453">
        <v>2010</v>
      </c>
      <c r="E68" s="423">
        <v>2020</v>
      </c>
      <c r="F68" s="423">
        <v>2030</v>
      </c>
      <c r="G68" s="423">
        <v>2040</v>
      </c>
      <c r="H68" s="423">
        <v>2050</v>
      </c>
      <c r="I68" s="155" t="s">
        <v>408</v>
      </c>
      <c r="N68">
        <v>2010</v>
      </c>
      <c r="O68">
        <v>2020</v>
      </c>
      <c r="P68">
        <v>2030</v>
      </c>
      <c r="Q68">
        <v>2040</v>
      </c>
      <c r="R68">
        <v>2050</v>
      </c>
      <c r="S68" s="635" t="s">
        <v>490</v>
      </c>
      <c r="T68" t="s">
        <v>493</v>
      </c>
    </row>
    <row r="69" spans="1:19" ht="13.5" thickBot="1">
      <c r="A69" s="20"/>
      <c r="B69" s="20"/>
      <c r="C69" s="457" t="s">
        <v>279</v>
      </c>
      <c r="D69" s="143">
        <f>E6</f>
        <v>100574.31533080233</v>
      </c>
      <c r="E69" s="458">
        <f>F6</f>
        <v>101580.05848411036</v>
      </c>
      <c r="F69" s="458">
        <f>G6</f>
        <v>101580.05848411036</v>
      </c>
      <c r="G69" s="458">
        <f>H6</f>
        <v>98532.65672958705</v>
      </c>
      <c r="H69" s="458">
        <f>I6</f>
        <v>93606.02389310769</v>
      </c>
      <c r="I69" s="155">
        <v>19757</v>
      </c>
      <c r="L69" s="718" t="s">
        <v>279</v>
      </c>
      <c r="M69" s="718"/>
      <c r="N69" s="118">
        <v>100574.31533080233</v>
      </c>
      <c r="O69" s="118">
        <v>101580.05848411036</v>
      </c>
      <c r="P69" s="118">
        <v>101580.05848411036</v>
      </c>
      <c r="Q69" s="118">
        <v>98532.65672958705</v>
      </c>
      <c r="R69" s="118">
        <v>93606.02389310769</v>
      </c>
      <c r="S69" s="635"/>
    </row>
    <row r="70" spans="1:20" ht="26.25" thickBot="1">
      <c r="A70" s="20"/>
      <c r="B70" s="20"/>
      <c r="C70" s="424" t="s">
        <v>273</v>
      </c>
      <c r="D70" s="63">
        <f>D69</f>
        <v>100574.31533080233</v>
      </c>
      <c r="E70" s="425">
        <f aca="true" t="shared" si="3" ref="E70:H71">(E69-F9)</f>
        <v>100992.80032161035</v>
      </c>
      <c r="F70" s="425">
        <f t="shared" si="3"/>
        <v>100405.54215911035</v>
      </c>
      <c r="G70" s="425">
        <f t="shared" si="3"/>
        <v>97358.14040458704</v>
      </c>
      <c r="H70" s="425">
        <f t="shared" si="3"/>
        <v>92431.50756810769</v>
      </c>
      <c r="I70" s="155">
        <f>I69</f>
        <v>19757</v>
      </c>
      <c r="L70" s="687" t="s">
        <v>273</v>
      </c>
      <c r="M70" s="687"/>
      <c r="N70" s="118">
        <f>(N69-D70)</f>
        <v>0</v>
      </c>
      <c r="O70" s="118">
        <f>(O69-E70)</f>
        <v>587.2581625000021</v>
      </c>
      <c r="P70" s="118">
        <f>(P69-F70)</f>
        <v>1174.5163250000041</v>
      </c>
      <c r="Q70" s="118">
        <f>(Q69-G70)</f>
        <v>1174.5163250000041</v>
      </c>
      <c r="R70" s="118">
        <f>(R69-H70)</f>
        <v>1174.5163250000041</v>
      </c>
      <c r="S70" s="636">
        <f>SUM(N70:R70)</f>
        <v>4110.8071375000145</v>
      </c>
      <c r="T70" s="118">
        <f>SUM(N70:R71)</f>
        <v>135500.46158394217</v>
      </c>
    </row>
    <row r="71" spans="1:23" ht="26.25" thickBot="1">
      <c r="A71" s="20"/>
      <c r="B71" s="20"/>
      <c r="C71" s="424" t="s">
        <v>274</v>
      </c>
      <c r="D71" s="63">
        <f>D70</f>
        <v>100574.31533080233</v>
      </c>
      <c r="E71" s="425">
        <f t="shared" si="3"/>
        <v>76152.82417087402</v>
      </c>
      <c r="F71" s="425">
        <f t="shared" si="3"/>
        <v>67891.55777503662</v>
      </c>
      <c r="G71" s="425">
        <f t="shared" si="3"/>
        <v>60984.95036503296</v>
      </c>
      <c r="H71" s="425">
        <f t="shared" si="3"/>
        <v>54769.00369602966</v>
      </c>
      <c r="I71" s="155">
        <f>I70</f>
        <v>19757</v>
      </c>
      <c r="L71" s="687" t="s">
        <v>274</v>
      </c>
      <c r="M71" s="687"/>
      <c r="N71" s="118">
        <f>(D70-D71)</f>
        <v>0</v>
      </c>
      <c r="O71" s="118">
        <f>(E70-E71)</f>
        <v>24839.97615073633</v>
      </c>
      <c r="P71" s="118">
        <f>(F70-F71)</f>
        <v>32513.98438407373</v>
      </c>
      <c r="Q71" s="118">
        <f>(G70-G71)</f>
        <v>36373.19003955409</v>
      </c>
      <c r="R71" s="118">
        <f>(H70-H71)</f>
        <v>37662.50387207803</v>
      </c>
      <c r="S71" s="636">
        <f>SUM(N71:R71)</f>
        <v>131389.65444644217</v>
      </c>
      <c r="T71" s="118"/>
      <c r="U71" s="118"/>
      <c r="V71" s="118"/>
      <c r="W71" s="118"/>
    </row>
    <row r="72" spans="1:9" ht="26.25" thickBot="1">
      <c r="A72" s="20"/>
      <c r="B72" s="20"/>
      <c r="C72" s="426" t="s">
        <v>265</v>
      </c>
      <c r="D72" s="63">
        <f>D71</f>
        <v>100574.31533080233</v>
      </c>
      <c r="E72" s="427">
        <f>E71</f>
        <v>76152.82417087402</v>
      </c>
      <c r="F72" s="427">
        <f>F71</f>
        <v>67891.55777503662</v>
      </c>
      <c r="G72" s="427">
        <f>G71</f>
        <v>60984.95036503296</v>
      </c>
      <c r="H72" s="427">
        <f>H71</f>
        <v>54769.00369602966</v>
      </c>
      <c r="I72" s="155">
        <f>I71</f>
        <v>19757</v>
      </c>
    </row>
    <row r="73" spans="1:9" ht="12.75">
      <c r="A73" s="20"/>
      <c r="B73" s="20"/>
      <c r="C73" s="211"/>
      <c r="D73" s="211"/>
      <c r="E73" s="211"/>
      <c r="F73" s="20"/>
      <c r="G73" s="20"/>
      <c r="H73" s="20"/>
      <c r="I73" s="155">
        <f>I72</f>
        <v>19757</v>
      </c>
    </row>
    <row r="74" spans="1:8" ht="12.75">
      <c r="A74" s="20"/>
      <c r="B74" s="20"/>
      <c r="C74" s="20"/>
      <c r="D74" s="20"/>
      <c r="E74" s="20"/>
      <c r="F74" s="20"/>
      <c r="G74" s="20"/>
      <c r="H74" s="20"/>
    </row>
    <row r="75" spans="1:8" ht="12.75">
      <c r="A75" s="20"/>
      <c r="B75" s="20"/>
      <c r="C75" s="20"/>
      <c r="D75" s="20"/>
      <c r="E75" s="20"/>
      <c r="F75" s="20"/>
      <c r="G75" s="20"/>
      <c r="H75" s="20"/>
    </row>
    <row r="76" spans="1:8" ht="12.75">
      <c r="A76" s="20"/>
      <c r="B76" s="20"/>
      <c r="C76" s="20"/>
      <c r="D76" s="20"/>
      <c r="E76" s="20"/>
      <c r="F76" s="20"/>
      <c r="G76" s="20"/>
      <c r="H76" s="20"/>
    </row>
    <row r="77" spans="1:8" ht="12.75">
      <c r="A77" s="20"/>
      <c r="B77" s="20"/>
      <c r="C77" s="20"/>
      <c r="D77" s="20"/>
      <c r="E77" s="20"/>
      <c r="F77" s="20"/>
      <c r="G77" s="20"/>
      <c r="H77" s="20"/>
    </row>
    <row r="78" spans="1:8" ht="12.75">
      <c r="A78" s="20"/>
      <c r="B78" s="20"/>
      <c r="C78" s="20"/>
      <c r="D78" s="20"/>
      <c r="E78" s="20"/>
      <c r="F78" s="20"/>
      <c r="G78" s="20"/>
      <c r="H78" s="20"/>
    </row>
    <row r="79" spans="1:8" ht="12.75">
      <c r="A79" s="20"/>
      <c r="B79" s="20"/>
      <c r="C79" s="20"/>
      <c r="D79" s="20"/>
      <c r="E79" s="20"/>
      <c r="F79" s="20"/>
      <c r="G79" s="20"/>
      <c r="H79" s="20"/>
    </row>
    <row r="80" spans="1:8" ht="12.75">
      <c r="A80" s="20"/>
      <c r="B80" s="20"/>
      <c r="C80" s="20"/>
      <c r="D80" s="20"/>
      <c r="E80" s="20"/>
      <c r="F80" s="20"/>
      <c r="G80" s="20"/>
      <c r="H80" s="20"/>
    </row>
    <row r="81" spans="1:8" ht="12.75">
      <c r="A81" s="20"/>
      <c r="B81" s="20"/>
      <c r="C81" s="20"/>
      <c r="D81" s="20"/>
      <c r="E81" s="20"/>
      <c r="F81" s="20"/>
      <c r="G81" s="20"/>
      <c r="H81" s="20"/>
    </row>
    <row r="82" spans="1:8" ht="12.75">
      <c r="A82" s="20"/>
      <c r="B82" s="20"/>
      <c r="C82" s="20"/>
      <c r="D82" s="20"/>
      <c r="E82" s="20"/>
      <c r="F82" s="20"/>
      <c r="G82" s="20"/>
      <c r="H82" s="20"/>
    </row>
    <row r="83" spans="1:8" ht="12.75">
      <c r="A83" s="20"/>
      <c r="B83" s="20"/>
      <c r="C83" s="20"/>
      <c r="D83" s="20"/>
      <c r="E83" s="20"/>
      <c r="F83" s="20"/>
      <c r="G83" s="20"/>
      <c r="H83" s="20"/>
    </row>
    <row r="84" spans="1:8" ht="12.75">
      <c r="A84" s="20"/>
      <c r="B84" s="20"/>
      <c r="C84" s="20"/>
      <c r="D84" s="20"/>
      <c r="E84" s="20"/>
      <c r="F84" s="20"/>
      <c r="G84" s="20"/>
      <c r="H84" s="20"/>
    </row>
    <row r="113" spans="2:9" ht="12.75">
      <c r="B113" s="378" t="s">
        <v>160</v>
      </c>
      <c r="C113" s="378"/>
      <c r="D113" s="378"/>
      <c r="E113" s="378"/>
      <c r="F113" s="378"/>
      <c r="G113" s="378"/>
      <c r="H113" s="378"/>
      <c r="I113" s="378"/>
    </row>
    <row r="114" spans="2:9" ht="12.75">
      <c r="B114" s="378"/>
      <c r="C114" s="378"/>
      <c r="D114" s="378"/>
      <c r="E114" s="378"/>
      <c r="F114" s="378"/>
      <c r="G114" s="378"/>
      <c r="H114" s="378"/>
      <c r="I114" s="378"/>
    </row>
    <row r="115" spans="2:9" ht="12.75">
      <c r="B115" s="379" t="s">
        <v>147</v>
      </c>
      <c r="C115" s="378"/>
      <c r="D115" s="378"/>
      <c r="E115" s="378"/>
      <c r="F115" s="378"/>
      <c r="G115" s="378"/>
      <c r="H115" s="378"/>
      <c r="I115" s="378"/>
    </row>
    <row r="116" spans="2:9" ht="13.5" thickBot="1">
      <c r="B116" s="378"/>
      <c r="C116" s="380"/>
      <c r="D116" s="381" t="s">
        <v>148</v>
      </c>
      <c r="E116" s="381" t="s">
        <v>149</v>
      </c>
      <c r="F116" s="381" t="s">
        <v>150</v>
      </c>
      <c r="G116" s="381" t="s">
        <v>151</v>
      </c>
      <c r="H116" s="381" t="s">
        <v>155</v>
      </c>
      <c r="I116" s="378"/>
    </row>
    <row r="117" spans="2:9" ht="13.5" thickTop="1">
      <c r="B117" s="378"/>
      <c r="C117" s="382" t="s">
        <v>152</v>
      </c>
      <c r="D117" s="383">
        <v>10311</v>
      </c>
      <c r="E117" s="383">
        <v>2085</v>
      </c>
      <c r="F117" s="383">
        <v>20717</v>
      </c>
      <c r="G117" s="383">
        <v>29158</v>
      </c>
      <c r="H117" s="384"/>
      <c r="I117" s="378"/>
    </row>
    <row r="118" spans="2:9" ht="12.75">
      <c r="B118" s="378"/>
      <c r="C118" s="382" t="s">
        <v>153</v>
      </c>
      <c r="D118" s="383">
        <v>35178</v>
      </c>
      <c r="E118" s="383">
        <v>2711</v>
      </c>
      <c r="F118" s="383">
        <v>71168</v>
      </c>
      <c r="G118" s="383">
        <v>99255</v>
      </c>
      <c r="H118" s="384"/>
      <c r="I118" s="378"/>
    </row>
    <row r="119" spans="2:9" ht="12.75">
      <c r="B119" s="378"/>
      <c r="C119" s="385" t="s">
        <v>154</v>
      </c>
      <c r="D119" s="383">
        <f>D118</f>
        <v>35178</v>
      </c>
      <c r="E119" s="383">
        <f>(E118*0.5)</f>
        <v>1355.5</v>
      </c>
      <c r="F119" s="383">
        <f>(F118*0.5)</f>
        <v>35584</v>
      </c>
      <c r="G119" s="383">
        <f>(G118*0.5)</f>
        <v>49627.5</v>
      </c>
      <c r="H119" s="384">
        <f>(D119+E119+F119+G119)</f>
        <v>121745</v>
      </c>
      <c r="I119" s="378"/>
    </row>
    <row r="120" spans="2:9" ht="12.75">
      <c r="B120" s="378"/>
      <c r="C120" s="382" t="s">
        <v>156</v>
      </c>
      <c r="D120" s="383" t="e">
        <f>(D119/$H$28)*100</f>
        <v>#DIV/0!</v>
      </c>
      <c r="E120" s="383" t="e">
        <f>(E119/$H$28)*100</f>
        <v>#DIV/0!</v>
      </c>
      <c r="F120" s="383" t="e">
        <f>(F119/$H$28)*100</f>
        <v>#DIV/0!</v>
      </c>
      <c r="G120" s="383" t="e">
        <f>(G119/$H$28)*100</f>
        <v>#DIV/0!</v>
      </c>
      <c r="H120" s="384"/>
      <c r="I120" s="378"/>
    </row>
    <row r="121" spans="2:9" ht="12.75">
      <c r="B121" s="378"/>
      <c r="C121" s="386"/>
      <c r="D121" s="383"/>
      <c r="E121" s="383"/>
      <c r="F121" s="383"/>
      <c r="G121" s="383"/>
      <c r="H121" s="384"/>
      <c r="I121" s="378"/>
    </row>
    <row r="122" spans="2:9" ht="12.75">
      <c r="B122" s="378"/>
      <c r="C122" s="386"/>
      <c r="D122" s="383"/>
      <c r="E122" s="383"/>
      <c r="F122" s="383"/>
      <c r="G122" s="383"/>
      <c r="H122" s="384"/>
      <c r="I122" s="378"/>
    </row>
    <row r="123" spans="2:9" ht="12.75">
      <c r="B123" s="378"/>
      <c r="C123" s="386"/>
      <c r="D123" s="386"/>
      <c r="E123" s="386"/>
      <c r="F123" s="386"/>
      <c r="G123" s="386"/>
      <c r="H123" s="378"/>
      <c r="I123" s="378"/>
    </row>
    <row r="124" spans="2:9" ht="12.75">
      <c r="B124" s="378"/>
      <c r="C124" s="378"/>
      <c r="D124" s="378"/>
      <c r="E124" s="378"/>
      <c r="F124" s="378"/>
      <c r="G124" s="378"/>
      <c r="H124" s="378"/>
      <c r="I124" s="378"/>
    </row>
    <row r="125" spans="2:9" ht="12.75">
      <c r="B125" s="378"/>
      <c r="C125" s="378"/>
      <c r="D125" s="378"/>
      <c r="E125" s="378"/>
      <c r="F125" s="378"/>
      <c r="G125" s="378"/>
      <c r="H125" s="378"/>
      <c r="I125" s="378"/>
    </row>
    <row r="126" spans="2:9" ht="12.75">
      <c r="B126" s="379" t="s">
        <v>162</v>
      </c>
      <c r="C126" s="378"/>
      <c r="D126" s="378"/>
      <c r="E126" s="378"/>
      <c r="F126" s="378"/>
      <c r="G126" s="378"/>
      <c r="H126" s="378"/>
      <c r="I126" s="378"/>
    </row>
    <row r="127" spans="2:9" ht="13.5" thickBot="1">
      <c r="B127" s="378"/>
      <c r="C127" s="380"/>
      <c r="D127" s="381" t="s">
        <v>148</v>
      </c>
      <c r="E127" s="381" t="s">
        <v>149</v>
      </c>
      <c r="F127" s="381" t="s">
        <v>150</v>
      </c>
      <c r="G127" s="381" t="s">
        <v>151</v>
      </c>
      <c r="H127" s="381" t="s">
        <v>158</v>
      </c>
      <c r="I127" s="387" t="s">
        <v>159</v>
      </c>
    </row>
    <row r="128" spans="2:9" ht="13.5" thickTop="1">
      <c r="B128" s="378"/>
      <c r="C128" s="382" t="s">
        <v>152</v>
      </c>
      <c r="D128" s="383">
        <v>0</v>
      </c>
      <c r="E128" s="383">
        <v>2085</v>
      </c>
      <c r="F128" s="383">
        <v>20717</v>
      </c>
      <c r="G128" s="383">
        <v>29158</v>
      </c>
      <c r="H128" s="384">
        <v>1843</v>
      </c>
      <c r="I128" s="378"/>
    </row>
    <row r="129" spans="2:9" ht="12.75">
      <c r="B129" s="378"/>
      <c r="C129" s="382" t="s">
        <v>153</v>
      </c>
      <c r="D129" s="383">
        <v>0</v>
      </c>
      <c r="E129" s="383">
        <v>2711</v>
      </c>
      <c r="F129" s="383">
        <v>71168</v>
      </c>
      <c r="G129" s="383">
        <v>99255</v>
      </c>
      <c r="H129" s="384">
        <v>6020</v>
      </c>
      <c r="I129" s="378"/>
    </row>
    <row r="130" spans="2:9" ht="12.75">
      <c r="B130" s="378"/>
      <c r="C130" s="385" t="s">
        <v>157</v>
      </c>
      <c r="D130" s="383">
        <f>D129</f>
        <v>0</v>
      </c>
      <c r="E130" s="383">
        <f>(E129*0.5)</f>
        <v>1355.5</v>
      </c>
      <c r="F130" s="383">
        <f>(F129*0.5)</f>
        <v>35584</v>
      </c>
      <c r="G130" s="383">
        <f>(G129*0.5)</f>
        <v>49627.5</v>
      </c>
      <c r="H130" s="384">
        <f>H129</f>
        <v>6020</v>
      </c>
      <c r="I130" s="388">
        <f>(D130+E130+F130+G130+H130)</f>
        <v>92587</v>
      </c>
    </row>
    <row r="131" spans="2:9" ht="12.75">
      <c r="B131" s="378"/>
      <c r="C131" s="382" t="s">
        <v>156</v>
      </c>
      <c r="D131" s="383">
        <f>(D130/$G$9)*100</f>
        <v>0</v>
      </c>
      <c r="E131" s="383" t="e">
        <f>(E130/$I$39)*100</f>
        <v>#DIV/0!</v>
      </c>
      <c r="F131" s="383" t="e">
        <f>(F130/$I$39)*100</f>
        <v>#DIV/0!</v>
      </c>
      <c r="G131" s="383" t="e">
        <f>(G130/$I$39)*100</f>
        <v>#DIV/0!</v>
      </c>
      <c r="H131" s="383" t="e">
        <f>(H130/$I$39)*100</f>
        <v>#DIV/0!</v>
      </c>
      <c r="I131" s="378"/>
    </row>
    <row r="132" spans="2:9" ht="12.75">
      <c r="B132" s="378"/>
      <c r="C132" s="386"/>
      <c r="D132" s="383"/>
      <c r="E132" s="383"/>
      <c r="F132" s="383"/>
      <c r="G132" s="383"/>
      <c r="H132" s="384"/>
      <c r="I132" s="378"/>
    </row>
  </sheetData>
  <mergeCells count="8">
    <mergeCell ref="L69:M69"/>
    <mergeCell ref="L70:M70"/>
    <mergeCell ref="L71:M71"/>
    <mergeCell ref="D67:G67"/>
    <mergeCell ref="M3:N3"/>
    <mergeCell ref="D2:J2"/>
    <mergeCell ref="C16:C29"/>
    <mergeCell ref="E16:K28"/>
  </mergeCells>
  <conditionalFormatting sqref="N13">
    <cfRule type="cellIs" priority="1" dxfId="0" operator="lessThan" stopIfTrue="1">
      <formula>$N$5</formula>
    </cfRule>
    <cfRule type="cellIs" priority="2" dxfId="1" operator="greaterThan" stopIfTrue="1">
      <formula>$N$5</formula>
    </cfRule>
  </conditionalFormatting>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2:Q47"/>
  <sheetViews>
    <sheetView workbookViewId="0" topLeftCell="A25">
      <selection activeCell="C26" sqref="C26"/>
    </sheetView>
  </sheetViews>
  <sheetFormatPr defaultColWidth="9.140625" defaultRowHeight="12.75"/>
  <cols>
    <col min="2" max="2" width="33.7109375" style="0" customWidth="1"/>
    <col min="3" max="3" width="18.28125" style="0" customWidth="1"/>
    <col min="4" max="4" width="12.00390625" style="0" customWidth="1"/>
    <col min="5" max="5" width="14.28125" style="0" customWidth="1"/>
    <col min="7" max="7" width="12.140625" style="0" customWidth="1"/>
    <col min="8" max="8" width="13.00390625" style="0" customWidth="1"/>
    <col min="10" max="10" width="12.28125" style="0" customWidth="1"/>
    <col min="12" max="12" width="15.28125" style="0" customWidth="1"/>
  </cols>
  <sheetData>
    <row r="2" spans="1:10" ht="26.25" thickBot="1">
      <c r="A2" s="55"/>
      <c r="B2" s="182" t="s">
        <v>105</v>
      </c>
      <c r="C2" s="670"/>
      <c r="D2" s="670"/>
      <c r="E2" s="670"/>
      <c r="F2" s="670"/>
      <c r="G2" s="670"/>
      <c r="H2" s="670"/>
      <c r="I2" s="670"/>
      <c r="J2" s="55"/>
    </row>
    <row r="3" spans="1:10" ht="52.5" thickBot="1" thickTop="1">
      <c r="A3" s="182"/>
      <c r="B3" s="183" t="s">
        <v>59</v>
      </c>
      <c r="C3" s="186" t="s">
        <v>66</v>
      </c>
      <c r="D3" s="187" t="s">
        <v>90</v>
      </c>
      <c r="E3" s="187">
        <v>2020</v>
      </c>
      <c r="F3" s="187">
        <v>2030</v>
      </c>
      <c r="G3" s="187">
        <v>2040</v>
      </c>
      <c r="H3" s="187">
        <v>2050</v>
      </c>
      <c r="I3" s="188" t="s">
        <v>106</v>
      </c>
      <c r="J3" s="55" t="s">
        <v>99</v>
      </c>
    </row>
    <row r="4" spans="1:10" ht="13.5" thickTop="1">
      <c r="A4" s="190" t="s">
        <v>2</v>
      </c>
      <c r="B4" s="185" t="s">
        <v>35</v>
      </c>
      <c r="C4" s="89">
        <v>44941.123456729096</v>
      </c>
      <c r="D4" s="89">
        <v>42797.827159229666</v>
      </c>
      <c r="E4" s="89">
        <f>(D4)+(0.02*D4)</f>
        <v>43653.78370241426</v>
      </c>
      <c r="F4" s="89">
        <f>(E4)+(0.03*E4)</f>
        <v>44963.397213486685</v>
      </c>
      <c r="G4" s="89">
        <f>(F4)+(0.01*F4)</f>
        <v>45413.031185621556</v>
      </c>
      <c r="H4" s="89">
        <f>(G4)-(0.03*G4)</f>
        <v>44050.64025005291</v>
      </c>
      <c r="I4" s="189">
        <f>C4*0.2</f>
        <v>8988.22469134582</v>
      </c>
      <c r="J4" t="s">
        <v>107</v>
      </c>
    </row>
    <row r="7" spans="2:8" ht="12.75">
      <c r="B7" t="s">
        <v>133</v>
      </c>
      <c r="C7" s="63">
        <f>C4</f>
        <v>44941.123456729096</v>
      </c>
      <c r="D7" s="63">
        <f>D4</f>
        <v>42797.827159229666</v>
      </c>
      <c r="E7" s="63">
        <v>35438</v>
      </c>
      <c r="F7" s="63">
        <v>32816</v>
      </c>
      <c r="G7" s="63">
        <v>30043</v>
      </c>
      <c r="H7" s="63">
        <f>(49065/2)</f>
        <v>24532.5</v>
      </c>
    </row>
    <row r="8" spans="1:9" ht="13.5" thickBot="1">
      <c r="A8" s="576"/>
      <c r="B8" s="577" t="s">
        <v>239</v>
      </c>
      <c r="C8" s="578">
        <f>C7</f>
        <v>44941.123456729096</v>
      </c>
      <c r="D8" s="578">
        <f>D7</f>
        <v>42797.827159229666</v>
      </c>
      <c r="E8" s="578">
        <f>(E7-(E4*0.1))</f>
        <v>31072.621629758574</v>
      </c>
      <c r="F8" s="578">
        <f>(F7-(F4*0.1))</f>
        <v>28319.660278651332</v>
      </c>
      <c r="G8" s="578">
        <f>(G7-(G4*0.1))</f>
        <v>25501.696881437845</v>
      </c>
      <c r="H8" s="578">
        <f>(H7-(H4*0.1))</f>
        <v>20127.43597499471</v>
      </c>
      <c r="I8" s="197" t="s">
        <v>417</v>
      </c>
    </row>
    <row r="9" spans="2:13" ht="41.25" customHeight="1" thickBot="1">
      <c r="B9" s="197"/>
      <c r="J9" s="343" t="s">
        <v>194</v>
      </c>
      <c r="K9" s="344"/>
      <c r="L9" s="349" t="s">
        <v>192</v>
      </c>
      <c r="M9" s="345" t="s">
        <v>193</v>
      </c>
    </row>
    <row r="10" spans="2:13" ht="26.25" thickBot="1">
      <c r="B10" s="254" t="s">
        <v>161</v>
      </c>
      <c r="C10" s="278">
        <f>C8</f>
        <v>44941.123456729096</v>
      </c>
      <c r="D10" s="278">
        <f>D7</f>
        <v>42797.827159229666</v>
      </c>
      <c r="E10" s="278">
        <f>E7</f>
        <v>35438</v>
      </c>
      <c r="F10" s="278">
        <f>F7</f>
        <v>32816</v>
      </c>
      <c r="G10" s="278">
        <f>G7</f>
        <v>30043</v>
      </c>
      <c r="H10" s="278">
        <f>H7</f>
        <v>24532.5</v>
      </c>
      <c r="J10" s="346" t="s">
        <v>191</v>
      </c>
      <c r="K10" s="347"/>
      <c r="L10" s="348">
        <f>C10-H10</f>
        <v>20408.623456729096</v>
      </c>
      <c r="M10" s="351">
        <f>L10/C10</f>
        <v>0.4541191204616689</v>
      </c>
    </row>
    <row r="11" spans="3:8" ht="12.75">
      <c r="C11" s="89"/>
      <c r="D11" s="89"/>
      <c r="E11" s="89"/>
      <c r="F11" s="89"/>
      <c r="G11" s="89"/>
      <c r="H11" s="89"/>
    </row>
    <row r="15" ht="13.5" thickBot="1"/>
    <row r="16" spans="2:11" ht="12.75">
      <c r="B16" t="s">
        <v>251</v>
      </c>
      <c r="E16" s="710" t="s">
        <v>497</v>
      </c>
      <c r="F16" s="711"/>
      <c r="G16" s="711"/>
      <c r="H16" s="711"/>
      <c r="I16" s="711"/>
      <c r="J16" s="711"/>
      <c r="K16" s="712"/>
    </row>
    <row r="17" spans="5:11" ht="12.75">
      <c r="E17" s="713"/>
      <c r="F17" s="686"/>
      <c r="G17" s="686"/>
      <c r="H17" s="686"/>
      <c r="I17" s="686"/>
      <c r="J17" s="686"/>
      <c r="K17" s="714"/>
    </row>
    <row r="18" spans="5:11" ht="12.75">
      <c r="E18" s="713"/>
      <c r="F18" s="686"/>
      <c r="G18" s="686"/>
      <c r="H18" s="686"/>
      <c r="I18" s="686"/>
      <c r="J18" s="686"/>
      <c r="K18" s="714"/>
    </row>
    <row r="19" spans="5:11" ht="12.75">
      <c r="E19" s="713"/>
      <c r="F19" s="686"/>
      <c r="G19" s="686"/>
      <c r="H19" s="686"/>
      <c r="I19" s="686"/>
      <c r="J19" s="686"/>
      <c r="K19" s="714"/>
    </row>
    <row r="20" spans="5:11" ht="12.75">
      <c r="E20" s="713"/>
      <c r="F20" s="686"/>
      <c r="G20" s="686"/>
      <c r="H20" s="686"/>
      <c r="I20" s="686"/>
      <c r="J20" s="686"/>
      <c r="K20" s="714"/>
    </row>
    <row r="21" spans="5:11" ht="12.75">
      <c r="E21" s="713"/>
      <c r="F21" s="686"/>
      <c r="G21" s="686"/>
      <c r="H21" s="686"/>
      <c r="I21" s="686"/>
      <c r="J21" s="686"/>
      <c r="K21" s="714"/>
    </row>
    <row r="22" spans="5:11" ht="12.75">
      <c r="E22" s="713"/>
      <c r="F22" s="686"/>
      <c r="G22" s="686"/>
      <c r="H22" s="686"/>
      <c r="I22" s="686"/>
      <c r="J22" s="686"/>
      <c r="K22" s="714"/>
    </row>
    <row r="23" spans="5:11" ht="12.75">
      <c r="E23" s="713"/>
      <c r="F23" s="686"/>
      <c r="G23" s="686"/>
      <c r="H23" s="686"/>
      <c r="I23" s="686"/>
      <c r="J23" s="686"/>
      <c r="K23" s="714"/>
    </row>
    <row r="24" spans="5:11" ht="12.75">
      <c r="E24" s="713"/>
      <c r="F24" s="686"/>
      <c r="G24" s="686"/>
      <c r="H24" s="686"/>
      <c r="I24" s="686"/>
      <c r="J24" s="686"/>
      <c r="K24" s="714"/>
    </row>
    <row r="25" spans="5:11" ht="12.75">
      <c r="E25" s="713"/>
      <c r="F25" s="686"/>
      <c r="G25" s="686"/>
      <c r="H25" s="686"/>
      <c r="I25" s="686"/>
      <c r="J25" s="686"/>
      <c r="K25" s="714"/>
    </row>
    <row r="26" spans="5:11" ht="12.75">
      <c r="E26" s="713"/>
      <c r="F26" s="686"/>
      <c r="G26" s="686"/>
      <c r="H26" s="686"/>
      <c r="I26" s="686"/>
      <c r="J26" s="686"/>
      <c r="K26" s="714"/>
    </row>
    <row r="27" spans="5:11" ht="12.75">
      <c r="E27" s="713"/>
      <c r="F27" s="686"/>
      <c r="G27" s="686"/>
      <c r="H27" s="686"/>
      <c r="I27" s="686"/>
      <c r="J27" s="686"/>
      <c r="K27" s="714"/>
    </row>
    <row r="28" spans="5:11" ht="13.5" thickBot="1">
      <c r="E28" s="715"/>
      <c r="F28" s="716"/>
      <c r="G28" s="716"/>
      <c r="H28" s="716"/>
      <c r="I28" s="716"/>
      <c r="J28" s="716"/>
      <c r="K28" s="717"/>
    </row>
    <row r="29" ht="13.5" thickBot="1"/>
    <row r="30" spans="2:5" ht="12.75">
      <c r="B30" s="579" t="s">
        <v>417</v>
      </c>
      <c r="C30" s="580"/>
      <c r="D30" s="580"/>
      <c r="E30" s="581"/>
    </row>
    <row r="31" spans="2:5" ht="12.75">
      <c r="B31" s="582" t="s">
        <v>185</v>
      </c>
      <c r="C31" s="583" t="s">
        <v>186</v>
      </c>
      <c r="D31" s="583" t="s">
        <v>240</v>
      </c>
      <c r="E31" s="584"/>
    </row>
    <row r="32" spans="2:5" ht="12.75">
      <c r="B32" s="582">
        <v>2020</v>
      </c>
      <c r="C32" s="585">
        <f>E4</f>
        <v>43653.78370241426</v>
      </c>
      <c r="D32" s="583">
        <f>C32-C32*0.1</f>
        <v>39288.40533217283</v>
      </c>
      <c r="E32" s="584"/>
    </row>
    <row r="33" spans="2:5" ht="12.75">
      <c r="B33" s="582">
        <v>2030</v>
      </c>
      <c r="C33" s="585">
        <f>F4</f>
        <v>44963.397213486685</v>
      </c>
      <c r="D33" s="583">
        <f>C33-C33*0.1</f>
        <v>40467.05749213802</v>
      </c>
      <c r="E33" s="584"/>
    </row>
    <row r="34" spans="2:5" ht="12.75">
      <c r="B34" s="582">
        <v>2040</v>
      </c>
      <c r="C34" s="585">
        <f>G4</f>
        <v>45413.031185621556</v>
      </c>
      <c r="D34" s="583">
        <f>C34-C34*0.1</f>
        <v>40871.7280670594</v>
      </c>
      <c r="E34" s="584"/>
    </row>
    <row r="35" spans="2:5" ht="12.75">
      <c r="B35" s="582">
        <v>2050</v>
      </c>
      <c r="C35" s="585">
        <f>H4</f>
        <v>44050.64025005291</v>
      </c>
      <c r="D35" s="583">
        <f>C35-C35*0.1</f>
        <v>39645.57622504762</v>
      </c>
      <c r="E35" s="584"/>
    </row>
    <row r="36" spans="2:5" ht="12.75">
      <c r="B36" s="582"/>
      <c r="C36" s="583"/>
      <c r="D36" s="583"/>
      <c r="E36" s="584"/>
    </row>
    <row r="37" spans="2:5" ht="13.5" thickBot="1">
      <c r="B37" s="208"/>
      <c r="C37" s="18"/>
      <c r="D37" s="18"/>
      <c r="E37" s="209"/>
    </row>
    <row r="40" ht="13.5" thickBot="1"/>
    <row r="41" spans="2:12" ht="27" customHeight="1" thickBot="1">
      <c r="B41" s="421" t="s">
        <v>263</v>
      </c>
      <c r="C41" s="673" t="s">
        <v>264</v>
      </c>
      <c r="D41" s="674"/>
      <c r="E41" s="674"/>
      <c r="F41" s="668"/>
      <c r="K41" t="s">
        <v>263</v>
      </c>
      <c r="L41" t="s">
        <v>483</v>
      </c>
    </row>
    <row r="42" spans="2:16" ht="13.5" thickBot="1">
      <c r="B42" s="422"/>
      <c r="C42" s="423">
        <v>2010</v>
      </c>
      <c r="D42" s="423">
        <v>2020</v>
      </c>
      <c r="E42" s="423">
        <v>2030</v>
      </c>
      <c r="F42" s="423">
        <v>2040</v>
      </c>
      <c r="G42" s="423">
        <v>2050</v>
      </c>
      <c r="H42" s="155" t="s">
        <v>408</v>
      </c>
      <c r="L42">
        <v>2010</v>
      </c>
      <c r="M42">
        <v>2020</v>
      </c>
      <c r="N42">
        <v>2030</v>
      </c>
      <c r="O42">
        <v>2040</v>
      </c>
      <c r="P42">
        <v>2050</v>
      </c>
    </row>
    <row r="43" spans="2:17" ht="13.5" thickBot="1">
      <c r="B43" s="457" t="s">
        <v>279</v>
      </c>
      <c r="C43" s="463">
        <f>D4</f>
        <v>42797.827159229666</v>
      </c>
      <c r="D43" s="463">
        <f>E4</f>
        <v>43653.78370241426</v>
      </c>
      <c r="E43" s="463">
        <f>F4</f>
        <v>44963.397213486685</v>
      </c>
      <c r="F43" s="463">
        <f>G4</f>
        <v>45413.031185621556</v>
      </c>
      <c r="G43" s="463">
        <f>H4</f>
        <v>44050.64025005291</v>
      </c>
      <c r="H43" s="155">
        <v>8988</v>
      </c>
      <c r="J43" s="719" t="s">
        <v>279</v>
      </c>
      <c r="K43" s="719"/>
      <c r="L43" s="118">
        <v>42797.827159229666</v>
      </c>
      <c r="M43" s="118">
        <v>43653.78370241426</v>
      </c>
      <c r="N43" s="118">
        <v>44963.397213486685</v>
      </c>
      <c r="O43" s="118">
        <v>45413.031185621556</v>
      </c>
      <c r="P43" s="118">
        <v>44050.64025005291</v>
      </c>
      <c r="Q43" s="635" t="s">
        <v>490</v>
      </c>
    </row>
    <row r="44" spans="2:17" ht="51.75" thickBot="1">
      <c r="B44" s="424" t="s">
        <v>277</v>
      </c>
      <c r="C44" s="63">
        <f>D7</f>
        <v>42797.827159229666</v>
      </c>
      <c r="D44" s="63">
        <f>E7</f>
        <v>35438</v>
      </c>
      <c r="E44" s="63">
        <f>F7</f>
        <v>32816</v>
      </c>
      <c r="F44" s="63">
        <f>G7</f>
        <v>30043</v>
      </c>
      <c r="G44" s="63">
        <f>H7</f>
        <v>24532.5</v>
      </c>
      <c r="H44" s="155">
        <f>H43</f>
        <v>8988</v>
      </c>
      <c r="J44" s="687" t="s">
        <v>277</v>
      </c>
      <c r="K44" s="687"/>
      <c r="L44" s="118">
        <f>(L43-C44)</f>
        <v>0</v>
      </c>
      <c r="M44" s="118">
        <f>(M43-D44)</f>
        <v>8215.783702414257</v>
      </c>
      <c r="N44" s="118">
        <f>(N43-E44)</f>
        <v>12147.397213486685</v>
      </c>
      <c r="O44" s="118">
        <f>(O43-F44)</f>
        <v>15370.031185621556</v>
      </c>
      <c r="P44" s="118">
        <f>(P43-G44)</f>
        <v>19518.140250052908</v>
      </c>
      <c r="Q44" s="636">
        <f>SUM(L44:P44)</f>
        <v>55251.352351575406</v>
      </c>
    </row>
    <row r="45" spans="2:8" ht="26.25" thickBot="1">
      <c r="B45" s="426" t="s">
        <v>265</v>
      </c>
      <c r="C45" s="591">
        <f>C44</f>
        <v>42797.827159229666</v>
      </c>
      <c r="D45" s="591">
        <f>D44</f>
        <v>35438</v>
      </c>
      <c r="E45" s="591">
        <f>E44</f>
        <v>32816</v>
      </c>
      <c r="F45" s="591">
        <f>F44</f>
        <v>30043</v>
      </c>
      <c r="G45" s="591">
        <f>G44</f>
        <v>24532.5</v>
      </c>
      <c r="H45" s="155">
        <f>H44</f>
        <v>8988</v>
      </c>
    </row>
    <row r="46" ht="12.75">
      <c r="H46" s="155">
        <f>H45</f>
        <v>8988</v>
      </c>
    </row>
    <row r="47" ht="12.75">
      <c r="H47" s="155">
        <f>H46</f>
        <v>8988</v>
      </c>
    </row>
  </sheetData>
  <mergeCells count="5">
    <mergeCell ref="C2:I2"/>
    <mergeCell ref="E16:K28"/>
    <mergeCell ref="C41:F41"/>
    <mergeCell ref="J44:K44"/>
    <mergeCell ref="J43:K43"/>
  </mergeCells>
  <conditionalFormatting sqref="M10">
    <cfRule type="cellIs" priority="1" dxfId="0" operator="lessThan" stopIfTrue="1">
      <formula>$N$4</formula>
    </cfRule>
    <cfRule type="cellIs" priority="2" dxfId="1" operator="greaterThan" stopIfTrue="1">
      <formula>$N$4</formula>
    </cfRule>
  </conditionalFormatting>
  <printOptions/>
  <pageMargins left="0.75" right="0.75" top="1" bottom="1" header="0.5" footer="0.5"/>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B3:N33"/>
  <sheetViews>
    <sheetView workbookViewId="0" topLeftCell="A1">
      <selection activeCell="O15" sqref="O15"/>
    </sheetView>
  </sheetViews>
  <sheetFormatPr defaultColWidth="9.140625" defaultRowHeight="12.75"/>
  <cols>
    <col min="7" max="7" width="14.8515625" style="0" customWidth="1"/>
    <col min="8" max="8" width="31.421875" style="0" customWidth="1"/>
    <col min="9" max="9" width="15.140625" style="0" customWidth="1"/>
    <col min="10" max="10" width="14.7109375" style="0" customWidth="1"/>
    <col min="11" max="11" width="13.7109375" style="0" customWidth="1"/>
    <col min="12" max="12" width="12.8515625" style="0" customWidth="1"/>
    <col min="13" max="13" width="15.140625" style="0" customWidth="1"/>
  </cols>
  <sheetData>
    <row r="3" spans="2:14" ht="13.5" thickBot="1">
      <c r="B3" s="63">
        <v>360</v>
      </c>
      <c r="C3" t="s">
        <v>130</v>
      </c>
      <c r="I3" s="191">
        <v>2010</v>
      </c>
      <c r="J3" s="191">
        <v>2020</v>
      </c>
      <c r="K3" s="191">
        <v>2030</v>
      </c>
      <c r="L3" s="191">
        <v>2040</v>
      </c>
      <c r="M3" s="191">
        <v>2050</v>
      </c>
      <c r="N3" s="158"/>
    </row>
    <row r="4" spans="2:14" ht="12.75">
      <c r="B4" s="63">
        <f>(360*86)</f>
        <v>30960</v>
      </c>
      <c r="C4" t="s">
        <v>128</v>
      </c>
      <c r="H4" t="s">
        <v>69</v>
      </c>
      <c r="I4" s="232">
        <v>45303.16386690663</v>
      </c>
      <c r="J4" s="233">
        <v>45258.76712040947</v>
      </c>
      <c r="K4" s="233">
        <v>44838.500112661</v>
      </c>
      <c r="L4" s="233">
        <v>43266.43629598224</v>
      </c>
      <c r="M4" s="234">
        <v>40794.67008353472</v>
      </c>
      <c r="N4" s="158"/>
    </row>
    <row r="5" spans="2:14" ht="12.75">
      <c r="B5" s="63"/>
      <c r="H5" t="s">
        <v>35</v>
      </c>
      <c r="I5" s="235">
        <v>18004.396864896753</v>
      </c>
      <c r="J5" s="192">
        <v>18548.579760138255</v>
      </c>
      <c r="K5" s="192">
        <v>18937.827528828897</v>
      </c>
      <c r="L5" s="192">
        <v>18826.0413247763</v>
      </c>
      <c r="M5" s="236">
        <v>18280.922594079013</v>
      </c>
      <c r="N5" s="158"/>
    </row>
    <row r="6" spans="2:14" ht="12.75">
      <c r="B6" s="63"/>
      <c r="H6" t="s">
        <v>77</v>
      </c>
      <c r="I6" s="235">
        <v>63560.11354440751</v>
      </c>
      <c r="J6" s="192">
        <v>63938.72720691123</v>
      </c>
      <c r="K6" s="192">
        <v>63779.79452800393</v>
      </c>
      <c r="L6" s="192">
        <v>61981.504783614946</v>
      </c>
      <c r="M6" s="236">
        <v>58870.77631767547</v>
      </c>
      <c r="N6" s="158"/>
    </row>
    <row r="7" spans="2:14" ht="12.75">
      <c r="B7" s="63"/>
      <c r="H7" t="s">
        <v>70</v>
      </c>
      <c r="I7" s="235">
        <v>72960.68165743587</v>
      </c>
      <c r="J7" s="192">
        <v>75878.88517181322</v>
      </c>
      <c r="K7" s="192">
        <v>76922.74500139209</v>
      </c>
      <c r="L7" s="192">
        <v>76094.31469847221</v>
      </c>
      <c r="M7" s="236">
        <v>73692.58596832737</v>
      </c>
      <c r="N7" s="158"/>
    </row>
    <row r="8" spans="2:14" ht="13.5" thickBot="1">
      <c r="B8" s="63"/>
      <c r="H8" t="s">
        <v>78</v>
      </c>
      <c r="I8" s="237">
        <v>5620.068382455202</v>
      </c>
      <c r="J8" s="238">
        <v>5620</v>
      </c>
      <c r="K8" s="238">
        <v>5620</v>
      </c>
      <c r="L8" s="238">
        <v>5620</v>
      </c>
      <c r="M8" s="239">
        <v>5620</v>
      </c>
      <c r="N8" s="158"/>
    </row>
    <row r="9" spans="2:14" ht="13.5" thickBot="1">
      <c r="B9" s="63"/>
      <c r="H9" s="152" t="s">
        <v>233</v>
      </c>
      <c r="I9" s="240">
        <v>205448.42431610197</v>
      </c>
      <c r="J9" s="241">
        <v>209489.41120755623</v>
      </c>
      <c r="K9" s="241">
        <v>210602.28760606042</v>
      </c>
      <c r="L9" s="241">
        <v>206397.78307716004</v>
      </c>
      <c r="M9" s="242">
        <v>197833.40251559948</v>
      </c>
      <c r="N9" s="158"/>
    </row>
    <row r="10" spans="2:14" ht="13.5" thickBot="1">
      <c r="B10" s="63"/>
      <c r="H10" t="s">
        <v>129</v>
      </c>
      <c r="I10" s="243">
        <f>(B4/I9)*100</f>
        <v>15.069475515842893</v>
      </c>
      <c r="J10" s="244">
        <f>(B4/J9)*100</f>
        <v>14.778789926200947</v>
      </c>
      <c r="K10" s="244">
        <f>(B4/K9)*100</f>
        <v>14.700695017098703</v>
      </c>
      <c r="L10" s="244">
        <f>(B4/L9)*100</f>
        <v>15.00016111530901</v>
      </c>
      <c r="M10" s="245">
        <f>(B4/M9)*100</f>
        <v>15.64953117437221</v>
      </c>
      <c r="N10" s="158"/>
    </row>
    <row r="11" spans="2:13" ht="13.5" thickBot="1">
      <c r="B11" s="63"/>
      <c r="H11" t="s">
        <v>232</v>
      </c>
      <c r="I11" s="243">
        <f>($B$26/I9)*100</f>
        <v>16.49270375900583</v>
      </c>
      <c r="J11" s="243">
        <f>($B$26/J9)*100</f>
        <v>16.17456453034215</v>
      </c>
      <c r="K11" s="243">
        <f>($B$26/K9)*100</f>
        <v>16.0890939909358</v>
      </c>
      <c r="L11" s="243">
        <f>($B$26/L9)*100</f>
        <v>16.416842998421526</v>
      </c>
      <c r="M11" s="243">
        <f>($B$26/M9)*100</f>
        <v>17.12754245195181</v>
      </c>
    </row>
    <row r="15" spans="3:8" ht="12.75">
      <c r="C15" s="720" t="s">
        <v>196</v>
      </c>
      <c r="D15" s="676"/>
      <c r="E15" s="676"/>
      <c r="F15" s="676"/>
      <c r="G15" s="676"/>
      <c r="H15" s="676"/>
    </row>
    <row r="16" spans="3:9" ht="13.5" thickBot="1">
      <c r="C16" s="676"/>
      <c r="D16" s="676"/>
      <c r="E16" s="676"/>
      <c r="F16" s="676"/>
      <c r="G16" s="676"/>
      <c r="H16" s="676"/>
      <c r="I16" s="20"/>
    </row>
    <row r="17" spans="3:13" ht="127.5" customHeight="1" thickBot="1">
      <c r="C17" s="676"/>
      <c r="D17" s="676"/>
      <c r="E17" s="676"/>
      <c r="F17" s="676"/>
      <c r="G17" s="676"/>
      <c r="H17" s="676"/>
      <c r="I17" s="20"/>
      <c r="K17" s="721" t="s">
        <v>235</v>
      </c>
      <c r="L17" s="722"/>
      <c r="M17" s="723"/>
    </row>
    <row r="18" spans="3:9" ht="13.5" thickBot="1">
      <c r="C18" s="676"/>
      <c r="D18" s="676"/>
      <c r="E18" s="676"/>
      <c r="F18" s="676"/>
      <c r="G18" s="676"/>
      <c r="H18" s="676"/>
      <c r="I18" s="20"/>
    </row>
    <row r="19" spans="3:13" ht="12.75" customHeight="1">
      <c r="C19" s="676"/>
      <c r="D19" s="676"/>
      <c r="E19" s="676"/>
      <c r="F19" s="676"/>
      <c r="G19" s="676"/>
      <c r="H19" s="676"/>
      <c r="I19" s="20"/>
      <c r="K19" s="677" t="s">
        <v>236</v>
      </c>
      <c r="L19" s="678"/>
      <c r="M19" s="679"/>
    </row>
    <row r="20" spans="3:13" ht="12.75">
      <c r="C20" s="676"/>
      <c r="D20" s="676"/>
      <c r="E20" s="676"/>
      <c r="F20" s="676"/>
      <c r="G20" s="676"/>
      <c r="H20" s="676"/>
      <c r="I20" s="20"/>
      <c r="K20" s="680"/>
      <c r="L20" s="681"/>
      <c r="M20" s="682"/>
    </row>
    <row r="21" spans="3:13" ht="12.75">
      <c r="C21" s="676"/>
      <c r="D21" s="676"/>
      <c r="E21" s="676"/>
      <c r="F21" s="676"/>
      <c r="G21" s="676"/>
      <c r="H21" s="676"/>
      <c r="K21" s="680"/>
      <c r="L21" s="681"/>
      <c r="M21" s="682"/>
    </row>
    <row r="22" spans="11:13" ht="12.75">
      <c r="K22" s="680"/>
      <c r="L22" s="681"/>
      <c r="M22" s="682"/>
    </row>
    <row r="23" spans="9:13" ht="12.75">
      <c r="I23" s="377"/>
      <c r="K23" s="680"/>
      <c r="L23" s="681"/>
      <c r="M23" s="682"/>
    </row>
    <row r="24" spans="11:13" ht="13.5" thickBot="1">
      <c r="K24" s="683"/>
      <c r="L24" s="684"/>
      <c r="M24" s="672"/>
    </row>
    <row r="25" spans="2:8" ht="25.5">
      <c r="B25" s="63">
        <f>((50*5*0.3)*(24*365))/1000</f>
        <v>657</v>
      </c>
      <c r="C25" t="s">
        <v>231</v>
      </c>
      <c r="H25" s="55" t="s">
        <v>234</v>
      </c>
    </row>
    <row r="26" spans="2:3" ht="13.5" thickBot="1">
      <c r="B26" s="63">
        <f>(394*86)</f>
        <v>33884</v>
      </c>
      <c r="C26" t="s">
        <v>128</v>
      </c>
    </row>
    <row r="27" spans="2:13" ht="12.75" customHeight="1">
      <c r="B27" s="63"/>
      <c r="H27" s="152">
        <f>(50*5*1.4)</f>
        <v>350</v>
      </c>
      <c r="I27" s="718" t="s">
        <v>238</v>
      </c>
      <c r="K27" s="677" t="s">
        <v>237</v>
      </c>
      <c r="L27" s="678"/>
      <c r="M27" s="679"/>
    </row>
    <row r="28" spans="9:13" ht="12.75">
      <c r="I28" s="718"/>
      <c r="K28" s="680"/>
      <c r="L28" s="681"/>
      <c r="M28" s="682"/>
    </row>
    <row r="29" spans="9:13" ht="12.75">
      <c r="I29" s="718"/>
      <c r="K29" s="680"/>
      <c r="L29" s="681"/>
      <c r="M29" s="682"/>
    </row>
    <row r="30" spans="9:13" ht="12.75">
      <c r="I30" s="718"/>
      <c r="K30" s="680"/>
      <c r="L30" s="681"/>
      <c r="M30" s="682"/>
    </row>
    <row r="31" spans="9:13" ht="12.75">
      <c r="I31" s="718"/>
      <c r="K31" s="680"/>
      <c r="L31" s="681"/>
      <c r="M31" s="682"/>
    </row>
    <row r="32" spans="11:13" ht="12.75">
      <c r="K32" s="680"/>
      <c r="L32" s="681"/>
      <c r="M32" s="682"/>
    </row>
    <row r="33" spans="11:13" ht="13.5" thickBot="1">
      <c r="K33" s="683"/>
      <c r="L33" s="684"/>
      <c r="M33" s="672"/>
    </row>
  </sheetData>
  <mergeCells count="5">
    <mergeCell ref="C15:H21"/>
    <mergeCell ref="K17:M17"/>
    <mergeCell ref="K19:M24"/>
    <mergeCell ref="K27:M33"/>
    <mergeCell ref="I27:I31"/>
  </mergeCell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B5:P93"/>
  <sheetViews>
    <sheetView workbookViewId="0" topLeftCell="A16">
      <selection activeCell="L30" sqref="L30"/>
    </sheetView>
  </sheetViews>
  <sheetFormatPr defaultColWidth="9.140625" defaultRowHeight="12.75"/>
  <cols>
    <col min="4" max="4" width="39.421875" style="0" bestFit="1" customWidth="1"/>
    <col min="5" max="5" width="31.00390625" style="0" customWidth="1"/>
    <col min="6" max="6" width="16.00390625" style="0" customWidth="1"/>
    <col min="7" max="10" width="9.8515625" style="0" bestFit="1" customWidth="1"/>
    <col min="11" max="11" width="16.421875" style="0" customWidth="1"/>
    <col min="12" max="12" width="14.8515625" style="55" customWidth="1"/>
    <col min="13" max="13" width="16.28125" style="55" customWidth="1"/>
    <col min="14" max="14" width="14.28125" style="0" customWidth="1"/>
    <col min="16" max="16" width="9.28125" style="0" bestFit="1" customWidth="1"/>
  </cols>
  <sheetData>
    <row r="1" ht="12.75"/>
    <row r="2" ht="12.75"/>
    <row r="3" ht="12.75"/>
    <row r="4" ht="13.5" thickBot="1"/>
    <row r="5" spans="3:13" ht="15.75">
      <c r="C5" s="261"/>
      <c r="D5" s="262" t="s">
        <v>105</v>
      </c>
      <c r="E5" s="263" t="s">
        <v>176</v>
      </c>
      <c r="F5" s="263"/>
      <c r="G5" s="264" t="s">
        <v>177</v>
      </c>
      <c r="H5" s="264"/>
      <c r="I5" s="264"/>
      <c r="J5" s="264"/>
      <c r="K5" s="273"/>
      <c r="L5" s="293" t="s">
        <v>180</v>
      </c>
      <c r="M5" s="329"/>
    </row>
    <row r="6" spans="3:13" ht="37.5" customHeight="1" thickBot="1">
      <c r="C6" s="266"/>
      <c r="D6" s="267" t="s">
        <v>59</v>
      </c>
      <c r="E6" s="268" t="s">
        <v>66</v>
      </c>
      <c r="F6" s="268" t="s">
        <v>90</v>
      </c>
      <c r="G6" s="290">
        <v>2020</v>
      </c>
      <c r="H6" s="290">
        <v>2030</v>
      </c>
      <c r="I6" s="290">
        <v>2040</v>
      </c>
      <c r="J6" s="290">
        <v>2050</v>
      </c>
      <c r="K6" s="292"/>
      <c r="L6" s="294" t="s">
        <v>181</v>
      </c>
      <c r="M6" s="330"/>
    </row>
    <row r="7" spans="3:14" ht="15">
      <c r="C7" s="287" t="s">
        <v>0</v>
      </c>
      <c r="D7" s="291" t="s">
        <v>68</v>
      </c>
      <c r="E7" s="295">
        <v>209918.10906462104</v>
      </c>
      <c r="F7" s="295">
        <v>38661.67493277718</v>
      </c>
      <c r="G7" s="296">
        <v>41192</v>
      </c>
      <c r="H7" s="296">
        <v>44052</v>
      </c>
      <c r="I7" s="296">
        <v>17542</v>
      </c>
      <c r="J7" s="296">
        <v>17542</v>
      </c>
      <c r="K7" s="297"/>
      <c r="L7" s="298">
        <f>E7*0.2</f>
        <v>41983.62181292421</v>
      </c>
      <c r="M7" s="331"/>
      <c r="N7" s="158"/>
    </row>
    <row r="8" spans="2:14" ht="15">
      <c r="B8" s="229"/>
      <c r="C8" s="401" t="s">
        <v>1</v>
      </c>
      <c r="D8" s="402" t="s">
        <v>76</v>
      </c>
      <c r="E8" s="403">
        <v>36548.57229589491</v>
      </c>
      <c r="F8" s="403">
        <v>46936.874460666666</v>
      </c>
      <c r="G8" s="404">
        <f>(F8)+(0.01*F8)</f>
        <v>47406.243205273335</v>
      </c>
      <c r="H8" s="404">
        <f>(G8)</f>
        <v>47406.243205273335</v>
      </c>
      <c r="I8" s="404">
        <f>(H8)-(H8*0.03)</f>
        <v>45984.05590911514</v>
      </c>
      <c r="J8" s="404">
        <f>(I8)-(I8*0.05)</f>
        <v>43684.85311365938</v>
      </c>
      <c r="K8" s="405"/>
      <c r="L8" s="406">
        <f aca="true" t="shared" si="0" ref="L8:L17">E8*0.2</f>
        <v>7309.714459178983</v>
      </c>
      <c r="M8" s="331"/>
      <c r="N8" s="158"/>
    </row>
    <row r="9" spans="3:14" ht="15">
      <c r="C9" s="265" t="s">
        <v>2</v>
      </c>
      <c r="D9" s="260" t="s">
        <v>35</v>
      </c>
      <c r="E9" s="299">
        <v>44941.123456729096</v>
      </c>
      <c r="F9" s="299">
        <v>42797.827159229666</v>
      </c>
      <c r="G9" s="300">
        <f>(F9)+(0.02*F9)</f>
        <v>43653.78370241426</v>
      </c>
      <c r="H9" s="300">
        <f>(G9)+(0.03*G9)</f>
        <v>44963.397213486685</v>
      </c>
      <c r="I9" s="300">
        <f>(H9)+(0.01*H9)</f>
        <v>45413.031185621556</v>
      </c>
      <c r="J9" s="300">
        <f>(I9)-(0.03*I9)</f>
        <v>44050.64025005291</v>
      </c>
      <c r="K9" s="301"/>
      <c r="L9" s="302">
        <f t="shared" si="0"/>
        <v>8988.22469134582</v>
      </c>
      <c r="M9" s="331"/>
      <c r="N9" s="158"/>
    </row>
    <row r="10" spans="3:14" ht="15">
      <c r="C10" s="265" t="s">
        <v>3</v>
      </c>
      <c r="D10" s="260" t="s">
        <v>36</v>
      </c>
      <c r="E10" s="299">
        <v>122564.88142085136</v>
      </c>
      <c r="F10" s="299">
        <v>122163.61627276035</v>
      </c>
      <c r="G10" s="300">
        <f>F10</f>
        <v>122163.61627276035</v>
      </c>
      <c r="H10" s="300">
        <f>(F10)-(0.01*F10)</f>
        <v>120941.98011003275</v>
      </c>
      <c r="I10" s="300">
        <f>(G10)-(0.04*G10)</f>
        <v>117277.07162184994</v>
      </c>
      <c r="J10" s="300">
        <f>(H10)-(0.06*H10)</f>
        <v>113685.46130343078</v>
      </c>
      <c r="K10" s="301"/>
      <c r="L10" s="302">
        <f t="shared" si="0"/>
        <v>24512.976284170276</v>
      </c>
      <c r="M10" s="331"/>
      <c r="N10" s="158"/>
    </row>
    <row r="11" spans="3:14" ht="15">
      <c r="C11" s="265" t="s">
        <v>4</v>
      </c>
      <c r="D11" s="260" t="s">
        <v>241</v>
      </c>
      <c r="E11" s="299">
        <v>62234.21174181034</v>
      </c>
      <c r="F11" s="299">
        <v>53637.440870135666</v>
      </c>
      <c r="G11" s="300">
        <f>(F11)+(0.01*F11)</f>
        <v>54173.81527883702</v>
      </c>
      <c r="H11" s="300">
        <f>(G11)</f>
        <v>54173.81527883702</v>
      </c>
      <c r="I11" s="300">
        <f>(H11)-(H11*0.03)</f>
        <v>52548.60082047191</v>
      </c>
      <c r="J11" s="300">
        <f>(I11)-(I11*0.05)</f>
        <v>49921.170779448315</v>
      </c>
      <c r="K11" s="301"/>
      <c r="L11" s="302">
        <f t="shared" si="0"/>
        <v>12446.842348362068</v>
      </c>
      <c r="M11" s="331"/>
      <c r="N11" s="158"/>
    </row>
    <row r="12" spans="3:14" ht="15">
      <c r="C12" s="265" t="s">
        <v>5</v>
      </c>
      <c r="D12" s="260" t="s">
        <v>70</v>
      </c>
      <c r="E12" s="299">
        <v>113144.36615108461</v>
      </c>
      <c r="F12" s="299">
        <v>99209.55907490112</v>
      </c>
      <c r="G12" s="300">
        <f>(F12)+(0.04*F12)</f>
        <v>103177.94143789716</v>
      </c>
      <c r="H12" s="300">
        <f>(G12)+(0.01*G12)</f>
        <v>104209.72085227612</v>
      </c>
      <c r="I12" s="300">
        <f>(H12)-(0.01*H12)</f>
        <v>103167.62364375337</v>
      </c>
      <c r="J12" s="300">
        <f>(I12)-(0.03*I12)</f>
        <v>100072.59493444077</v>
      </c>
      <c r="K12" s="301"/>
      <c r="L12" s="302">
        <f t="shared" si="0"/>
        <v>22628.873230216923</v>
      </c>
      <c r="M12" s="331"/>
      <c r="N12" s="158"/>
    </row>
    <row r="13" spans="3:14" ht="15">
      <c r="C13" s="265" t="s">
        <v>6</v>
      </c>
      <c r="D13" s="260" t="s">
        <v>62</v>
      </c>
      <c r="E13" s="299">
        <v>272.11932</v>
      </c>
      <c r="F13" s="299">
        <v>191.52606</v>
      </c>
      <c r="G13" s="300">
        <v>191.52606</v>
      </c>
      <c r="H13" s="300">
        <v>191.52606</v>
      </c>
      <c r="I13" s="300">
        <v>191.52606</v>
      </c>
      <c r="J13" s="300">
        <v>191.52606</v>
      </c>
      <c r="K13" s="301"/>
      <c r="L13" s="302">
        <f t="shared" si="0"/>
        <v>54.42386400000001</v>
      </c>
      <c r="M13" s="331"/>
      <c r="N13" s="158"/>
    </row>
    <row r="14" spans="3:14" ht="15">
      <c r="C14" s="265" t="s">
        <v>56</v>
      </c>
      <c r="D14" s="260" t="s">
        <v>52</v>
      </c>
      <c r="E14" s="299">
        <v>21354.564632438065</v>
      </c>
      <c r="F14" s="299">
        <v>15060.847766152361</v>
      </c>
      <c r="G14" s="300">
        <v>15060.847766152361</v>
      </c>
      <c r="H14" s="300">
        <v>15060.847766152361</v>
      </c>
      <c r="I14" s="300">
        <v>15060.847766152361</v>
      </c>
      <c r="J14" s="300">
        <v>15060.847766152361</v>
      </c>
      <c r="K14" s="301"/>
      <c r="L14" s="302">
        <f t="shared" si="0"/>
        <v>4270.912926487613</v>
      </c>
      <c r="M14" s="331"/>
      <c r="N14" s="158"/>
    </row>
    <row r="15" spans="3:14" ht="15">
      <c r="C15" s="265" t="s">
        <v>18</v>
      </c>
      <c r="D15" s="260" t="s">
        <v>51</v>
      </c>
      <c r="E15" s="299">
        <v>1027.1866085136494</v>
      </c>
      <c r="F15" s="299">
        <v>1211.8305363153804</v>
      </c>
      <c r="G15" s="300">
        <f>F15</f>
        <v>1211.8305363153804</v>
      </c>
      <c r="H15" s="300">
        <f>G15-(G15*0.09)</f>
        <v>1102.7657880469962</v>
      </c>
      <c r="I15" s="300">
        <f>H15-(H15*0.035)</f>
        <v>1064.1689854653514</v>
      </c>
      <c r="J15" s="300">
        <f>I15-(I15*0.057)</f>
        <v>1003.5113532938263</v>
      </c>
      <c r="K15" s="301"/>
      <c r="L15" s="302">
        <f t="shared" si="0"/>
        <v>205.4373217027299</v>
      </c>
      <c r="M15" s="331"/>
      <c r="N15" s="158"/>
    </row>
    <row r="16" spans="3:14" ht="15.75" thickBot="1">
      <c r="C16" s="269" t="s">
        <v>57</v>
      </c>
      <c r="D16" s="270" t="s">
        <v>63</v>
      </c>
      <c r="E16" s="303">
        <f>'Summary Data'!D122</f>
        <v>3473.219515383998</v>
      </c>
      <c r="F16" s="303">
        <v>18879.796963247147</v>
      </c>
      <c r="G16" s="304">
        <f>F16</f>
        <v>18879.796963247147</v>
      </c>
      <c r="H16" s="304">
        <f>G16-(G16*0.09)</f>
        <v>17180.615236554902</v>
      </c>
      <c r="I16" s="304">
        <f>H16-(H16*0.035)</f>
        <v>16579.29370327548</v>
      </c>
      <c r="J16" s="304">
        <f>I16-(I16*0.057)</f>
        <v>15634.27396218878</v>
      </c>
      <c r="K16" s="305"/>
      <c r="L16" s="306">
        <f t="shared" si="0"/>
        <v>694.6439030767997</v>
      </c>
      <c r="M16" s="331"/>
      <c r="N16" s="158"/>
    </row>
    <row r="17" spans="3:14" ht="16.5" thickBot="1">
      <c r="C17" s="271"/>
      <c r="D17" s="272" t="s">
        <v>20</v>
      </c>
      <c r="E17" s="307">
        <f>E7+E8+E9+E10+E11+E12+E13+E14+E15+E16</f>
        <v>615478.3542073272</v>
      </c>
      <c r="F17" s="307">
        <f>(F7+F8+F9+F10+F11+F12+F13+F14+F15+F16)</f>
        <v>438750.9940961855</v>
      </c>
      <c r="G17" s="308">
        <f>(G7+G8+G9+G10+G11+G12+G13+G14+G15+G16)</f>
        <v>447111.401222897</v>
      </c>
      <c r="H17" s="308">
        <f>(H7+H8+H9+H10+H11+H12+H13+H14+H15+H16)</f>
        <v>449282.91151066014</v>
      </c>
      <c r="I17" s="308">
        <f>(I7+I8+I9+I10+I11+I12+I13+I14+I15+I16)</f>
        <v>414828.2196957051</v>
      </c>
      <c r="J17" s="308">
        <f>(J7+J8+J9+J10+J11+J12+J13+J14+J15+J16)</f>
        <v>400846.8795226671</v>
      </c>
      <c r="K17" s="309"/>
      <c r="L17" s="310">
        <f t="shared" si="0"/>
        <v>123095.67084146546</v>
      </c>
      <c r="M17" s="332"/>
      <c r="N17" s="158"/>
    </row>
    <row r="18" spans="5:14" ht="12.75">
      <c r="E18" s="158"/>
      <c r="F18" s="158"/>
      <c r="G18" s="158"/>
      <c r="H18" s="158"/>
      <c r="I18" s="158"/>
      <c r="J18" s="158"/>
      <c r="K18" s="158"/>
      <c r="L18" s="165"/>
      <c r="M18" s="165"/>
      <c r="N18" s="158"/>
    </row>
    <row r="19" spans="5:14" ht="13.5" thickBot="1">
      <c r="E19" s="158"/>
      <c r="F19" s="158"/>
      <c r="G19" s="158"/>
      <c r="H19" s="158"/>
      <c r="I19" s="158"/>
      <c r="J19" s="158"/>
      <c r="K19" s="158"/>
      <c r="L19" s="165"/>
      <c r="M19" s="165"/>
      <c r="N19" s="158"/>
    </row>
    <row r="20" spans="3:14" ht="48" thickBot="1">
      <c r="C20" s="206"/>
      <c r="D20" s="408" t="s">
        <v>178</v>
      </c>
      <c r="E20" s="311" t="s">
        <v>176</v>
      </c>
      <c r="F20" s="312"/>
      <c r="G20" s="409" t="s">
        <v>247</v>
      </c>
      <c r="H20" s="313"/>
      <c r="I20" s="313"/>
      <c r="J20" s="327"/>
      <c r="K20" s="325" t="s">
        <v>182</v>
      </c>
      <c r="L20" s="314" t="s">
        <v>183</v>
      </c>
      <c r="M20" s="333" t="s">
        <v>190</v>
      </c>
      <c r="N20" s="396" t="s">
        <v>184</v>
      </c>
    </row>
    <row r="21" spans="3:14" ht="189.75" thickBot="1">
      <c r="C21" s="208"/>
      <c r="D21" s="289" t="s">
        <v>59</v>
      </c>
      <c r="E21" s="315" t="s">
        <v>66</v>
      </c>
      <c r="F21" s="420">
        <v>2010</v>
      </c>
      <c r="G21" s="316">
        <v>2020</v>
      </c>
      <c r="H21" s="316">
        <v>2030</v>
      </c>
      <c r="I21" s="316">
        <v>2040</v>
      </c>
      <c r="J21" s="328">
        <v>2050</v>
      </c>
      <c r="K21" s="326" t="s">
        <v>189</v>
      </c>
      <c r="L21" s="317" t="s">
        <v>188</v>
      </c>
      <c r="M21" s="334" t="s">
        <v>187</v>
      </c>
      <c r="N21" s="397" t="s">
        <v>195</v>
      </c>
    </row>
    <row r="22" spans="3:16" ht="15.75">
      <c r="C22" s="287" t="s">
        <v>0</v>
      </c>
      <c r="D22" s="288" t="s">
        <v>68</v>
      </c>
      <c r="E22" s="295">
        <f>'Summary Data'!S138</f>
        <v>209918.10906462104</v>
      </c>
      <c r="F22" s="295">
        <f>'Summary Data'!T138</f>
        <v>38661.67493277718</v>
      </c>
      <c r="G22" s="296">
        <f>'Summary Data'!U138</f>
        <v>41192</v>
      </c>
      <c r="H22" s="296">
        <f>'Summary Data'!V138</f>
        <v>44052</v>
      </c>
      <c r="I22" s="296">
        <f>'Summary Data'!W138</f>
        <v>17542</v>
      </c>
      <c r="J22" s="296">
        <f>'Summary Data'!X138</f>
        <v>17542</v>
      </c>
      <c r="K22" s="338">
        <f>J22-L22</f>
        <v>-24441.62181292421</v>
      </c>
      <c r="L22" s="318">
        <v>41983.62181292421</v>
      </c>
      <c r="M22" s="336">
        <f>(J22-E22)/E22</f>
        <v>-0.9164340795648084</v>
      </c>
      <c r="N22" s="398">
        <f>(G22-F22)/F22</f>
        <v>0.06544789049161498</v>
      </c>
      <c r="P22" s="342"/>
    </row>
    <row r="23" spans="3:14" ht="15.75">
      <c r="C23" s="265" t="s">
        <v>2</v>
      </c>
      <c r="D23" s="285" t="s">
        <v>35</v>
      </c>
      <c r="E23" s="299">
        <f>Aviation!C10</f>
        <v>44941.123456729096</v>
      </c>
      <c r="F23" s="299">
        <f>Aviation!D10</f>
        <v>42797.827159229666</v>
      </c>
      <c r="G23" s="300">
        <f>Aviation!E10</f>
        <v>35438</v>
      </c>
      <c r="H23" s="300">
        <f>Aviation!F10</f>
        <v>32816</v>
      </c>
      <c r="I23" s="300">
        <f>Aviation!G10</f>
        <v>30043</v>
      </c>
      <c r="J23" s="300">
        <f>Aviation!H10</f>
        <v>24532.5</v>
      </c>
      <c r="K23" s="338">
        <f aca="true" t="shared" si="1" ref="K23:K31">J23-L23</f>
        <v>15544.27530865418</v>
      </c>
      <c r="L23" s="319">
        <v>8988.22469134582</v>
      </c>
      <c r="M23" s="336">
        <f aca="true" t="shared" si="2" ref="M23:M31">(J23-E23)/E23</f>
        <v>-0.4541191204616689</v>
      </c>
      <c r="N23" s="398">
        <f aca="true" t="shared" si="3" ref="N23:N30">(G23-F23)/F23</f>
        <v>-0.17196730880395794</v>
      </c>
    </row>
    <row r="24" spans="3:14" ht="15.75">
      <c r="C24" s="265" t="s">
        <v>3</v>
      </c>
      <c r="D24" s="285" t="s">
        <v>36</v>
      </c>
      <c r="E24" s="299">
        <f>Transport!C3</f>
        <v>122564.88142085136</v>
      </c>
      <c r="F24" s="299">
        <f>Transport!D3</f>
        <v>122163.61627276035</v>
      </c>
      <c r="G24" s="300">
        <f>Transport!E12</f>
        <v>98427.92916483186</v>
      </c>
      <c r="H24" s="300">
        <f>Transport!F12</f>
        <v>80216.77046552177</v>
      </c>
      <c r="I24" s="300">
        <f>Transport!G12</f>
        <v>52718.97519905854</v>
      </c>
      <c r="J24" s="300">
        <f>Transport!H12</f>
        <v>26804.37906958425</v>
      </c>
      <c r="K24" s="338">
        <f t="shared" si="1"/>
        <v>2291.402785413975</v>
      </c>
      <c r="L24" s="319">
        <v>24512.976284170276</v>
      </c>
      <c r="M24" s="336">
        <f>(J24-E24)/E24</f>
        <v>-0.7813045730648898</v>
      </c>
      <c r="N24" s="398">
        <f t="shared" si="3"/>
        <v>-0.1942942410523664</v>
      </c>
    </row>
    <row r="25" spans="3:14" ht="15.75">
      <c r="C25" s="265" t="s">
        <v>4</v>
      </c>
      <c r="D25" s="285" t="s">
        <v>216</v>
      </c>
      <c r="E25" s="299">
        <f>'Industry &amp; Commercial(inc SoJ)'!D14</f>
        <v>98782.78403770525</v>
      </c>
      <c r="F25" s="299">
        <f>'Industry &amp; Commercial(inc SoJ)'!E14</f>
        <v>100574.31533080233</v>
      </c>
      <c r="G25" s="300">
        <f>'Industry &amp; Commercial(inc SoJ)'!F14</f>
        <v>76152.82417087402</v>
      </c>
      <c r="H25" s="300">
        <f>'Industry &amp; Commercial(inc SoJ)'!G14</f>
        <v>67891.55777503664</v>
      </c>
      <c r="I25" s="300">
        <f>'Industry &amp; Commercial(inc SoJ)'!H14</f>
        <v>60984.950365032964</v>
      </c>
      <c r="J25" s="300">
        <f>'Industry &amp; Commercial(inc SoJ)'!I14</f>
        <v>54769.003696029664</v>
      </c>
      <c r="K25" s="338">
        <f t="shared" si="1"/>
        <v>35012.446888488616</v>
      </c>
      <c r="L25" s="319">
        <f>(L11+L8)</f>
        <v>19756.556807541052</v>
      </c>
      <c r="M25" s="336">
        <f t="shared" si="2"/>
        <v>-0.44556124602517366</v>
      </c>
      <c r="N25" s="398">
        <f t="shared" si="3"/>
        <v>-0.24282035706236496</v>
      </c>
    </row>
    <row r="26" spans="3:16" ht="15.75">
      <c r="C26" s="265" t="s">
        <v>5</v>
      </c>
      <c r="D26" s="285" t="s">
        <v>70</v>
      </c>
      <c r="E26" s="299">
        <f>Domestic!D13</f>
        <v>113144.36615108461</v>
      </c>
      <c r="F26" s="299">
        <f>Domestic!E13</f>
        <v>99209.55907490112</v>
      </c>
      <c r="G26" s="300">
        <f>Domestic!F13</f>
        <v>71932.44143789716</v>
      </c>
      <c r="H26" s="300">
        <f>Domestic!G13</f>
        <v>51092.62085227612</v>
      </c>
      <c r="I26" s="300">
        <f>Domestic!H13</f>
        <v>23466.36591011018</v>
      </c>
      <c r="J26" s="300">
        <f>Domestic!I13</f>
        <v>20371.337200797585</v>
      </c>
      <c r="K26" s="338">
        <f t="shared" si="1"/>
        <v>-2257.536029419338</v>
      </c>
      <c r="L26" s="319">
        <v>22628.873230216923</v>
      </c>
      <c r="M26" s="336">
        <f t="shared" si="2"/>
        <v>-0.8199527038439085</v>
      </c>
      <c r="N26" s="398">
        <f t="shared" si="3"/>
        <v>-0.2749444498227264</v>
      </c>
      <c r="P26" s="342">
        <v>-0.8</v>
      </c>
    </row>
    <row r="27" spans="3:14" ht="15.75">
      <c r="C27" s="265" t="s">
        <v>6</v>
      </c>
      <c r="D27" s="285" t="s">
        <v>62</v>
      </c>
      <c r="E27" s="299">
        <f>'Summary Data'!S144</f>
        <v>272.11932</v>
      </c>
      <c r="F27" s="299">
        <f>'Summary Data'!T144</f>
        <v>191.52606</v>
      </c>
      <c r="G27" s="300">
        <f>'Summary Data'!U144</f>
        <v>191.52606</v>
      </c>
      <c r="H27" s="300">
        <f>'Summary Data'!V144</f>
        <v>191.52606</v>
      </c>
      <c r="I27" s="300">
        <f>'Summary Data'!W144</f>
        <v>191.52606</v>
      </c>
      <c r="J27" s="300">
        <f>'Summary Data'!X144</f>
        <v>191.52606</v>
      </c>
      <c r="K27" s="338">
        <f t="shared" si="1"/>
        <v>137.102196</v>
      </c>
      <c r="L27" s="319">
        <v>54.42386400000001</v>
      </c>
      <c r="M27" s="336">
        <f t="shared" si="2"/>
        <v>-0.29616882770396463</v>
      </c>
      <c r="N27" s="398">
        <f t="shared" si="3"/>
        <v>0</v>
      </c>
    </row>
    <row r="28" spans="3:14" ht="15.75">
      <c r="C28" s="265" t="s">
        <v>56</v>
      </c>
      <c r="D28" s="285" t="s">
        <v>52</v>
      </c>
      <c r="E28" s="299">
        <f>Agriculture!D11</f>
        <v>21354.564632438065</v>
      </c>
      <c r="F28" s="299">
        <f>Agriculture!E11</f>
        <v>15060.847766152361</v>
      </c>
      <c r="G28" s="300">
        <f>Agriculture!F11</f>
        <v>11973.373974091128</v>
      </c>
      <c r="H28" s="300">
        <f>Agriculture!G11</f>
        <v>6220.130127420925</v>
      </c>
      <c r="I28" s="300">
        <f>Agriculture!H11</f>
        <v>6220.130127420925</v>
      </c>
      <c r="J28" s="300">
        <f>Agriculture!I11</f>
        <v>6220.130127420925</v>
      </c>
      <c r="K28" s="338">
        <f t="shared" si="1"/>
        <v>1949.2172009333126</v>
      </c>
      <c r="L28" s="319">
        <v>4270.912926487613</v>
      </c>
      <c r="M28" s="336">
        <f t="shared" si="2"/>
        <v>-0.7087212858475977</v>
      </c>
      <c r="N28" s="398">
        <f t="shared" si="3"/>
        <v>-0.20499999999999996</v>
      </c>
    </row>
    <row r="29" spans="3:14" ht="15.75">
      <c r="C29" s="265" t="s">
        <v>18</v>
      </c>
      <c r="D29" s="285" t="s">
        <v>51</v>
      </c>
      <c r="E29" s="299">
        <f>'Summary Data'!S146</f>
        <v>1027.1866085136494</v>
      </c>
      <c r="F29" s="299">
        <f>'Summary Data'!T146</f>
        <v>1211.8305363153804</v>
      </c>
      <c r="G29" s="300">
        <f>'Summary Data'!U146</f>
        <v>1211.8305363153804</v>
      </c>
      <c r="H29" s="300">
        <f>'Summary Data'!V146</f>
        <v>1102.7657880469962</v>
      </c>
      <c r="I29" s="300">
        <f>'Summary Data'!W146</f>
        <v>1064.1689854653514</v>
      </c>
      <c r="J29" s="300">
        <f>'Summary Data'!X146</f>
        <v>1003.5113532938263</v>
      </c>
      <c r="K29" s="338">
        <f t="shared" si="1"/>
        <v>798.0740315910964</v>
      </c>
      <c r="L29" s="319">
        <v>205.4373217027299</v>
      </c>
      <c r="M29" s="336">
        <f t="shared" si="2"/>
        <v>-0.023048640844414246</v>
      </c>
      <c r="N29" s="398">
        <f t="shared" si="3"/>
        <v>0</v>
      </c>
    </row>
    <row r="30" spans="3:14" ht="16.5" thickBot="1">
      <c r="C30" s="266" t="s">
        <v>57</v>
      </c>
      <c r="D30" s="286" t="s">
        <v>63</v>
      </c>
      <c r="E30" s="303">
        <f>'Summary Data'!S147</f>
        <v>3473.219515383998</v>
      </c>
      <c r="F30" s="303">
        <f>'Summary Data'!T147</f>
        <v>18879.796963247147</v>
      </c>
      <c r="G30" s="300">
        <f>'Summary Data'!U147</f>
        <v>18879.796963247147</v>
      </c>
      <c r="H30" s="300">
        <f>'Summary Data'!V147</f>
        <v>17180.615236554902</v>
      </c>
      <c r="I30" s="300">
        <f>'Summary Data'!W147</f>
        <v>16579.29370327548</v>
      </c>
      <c r="J30" s="300">
        <f>'Summary Data'!X147</f>
        <v>15634.27396218878</v>
      </c>
      <c r="K30" s="339">
        <f>J30-L30</f>
        <v>14939.63005911198</v>
      </c>
      <c r="L30" s="320">
        <f>L16</f>
        <v>694.6439030767997</v>
      </c>
      <c r="M30" s="337">
        <f t="shared" si="2"/>
        <v>3.501378013379111</v>
      </c>
      <c r="N30" s="399">
        <f t="shared" si="3"/>
        <v>0</v>
      </c>
    </row>
    <row r="31" spans="3:14" ht="16.5" thickBot="1">
      <c r="C31" s="277"/>
      <c r="D31" s="284" t="s">
        <v>179</v>
      </c>
      <c r="E31" s="322">
        <f aca="true" t="shared" si="4" ref="E31:J31">SUM(E22:E30)</f>
        <v>615478.3542073272</v>
      </c>
      <c r="F31" s="323">
        <f t="shared" si="4"/>
        <v>438750.9940961855</v>
      </c>
      <c r="G31" s="323">
        <f t="shared" si="4"/>
        <v>355399.7223072567</v>
      </c>
      <c r="H31" s="323">
        <f t="shared" si="4"/>
        <v>300763.98630485736</v>
      </c>
      <c r="I31" s="323">
        <f t="shared" si="4"/>
        <v>208810.4103503634</v>
      </c>
      <c r="J31" s="324">
        <f t="shared" si="4"/>
        <v>167068.661469315</v>
      </c>
      <c r="K31" s="340">
        <f t="shared" si="1"/>
        <v>43972.99062784959</v>
      </c>
      <c r="L31" s="321">
        <f>(L22+L23+L24+L25+L26+L27+L28+L29+L30)</f>
        <v>123095.67084146541</v>
      </c>
      <c r="M31" s="335">
        <f t="shared" si="2"/>
        <v>-0.7285547731658537</v>
      </c>
      <c r="N31" s="400">
        <f>(G31-F31)/F31</f>
        <v>-0.18997397820289846</v>
      </c>
    </row>
    <row r="32" spans="3:14" ht="15.75" thickBot="1">
      <c r="C32" s="277"/>
      <c r="D32" s="586" t="s">
        <v>429</v>
      </c>
      <c r="E32" s="587"/>
      <c r="F32" s="588">
        <f>($E$31-F31)/$E$31*100</f>
        <v>28.713822168246423</v>
      </c>
      <c r="G32" s="588">
        <f>($E$31-G31)/$E$31*100</f>
        <v>42.256340961823916</v>
      </c>
      <c r="H32" s="588">
        <f>($E$31-H31)/$E$31*100</f>
        <v>51.13329587484674</v>
      </c>
      <c r="I32" s="588">
        <f>($E$31-I31)/$E$31*100</f>
        <v>66.07347619571614</v>
      </c>
      <c r="J32" s="588">
        <f>($E$31-J31)/$E$31*100</f>
        <v>72.85547731658536</v>
      </c>
      <c r="K32" s="588"/>
      <c r="L32" s="589"/>
      <c r="M32" s="589"/>
      <c r="N32" s="590"/>
    </row>
    <row r="33" ht="12.75"/>
    <row r="34" ht="12.75">
      <c r="N34" s="152"/>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3.5" thickBot="1"/>
    <row r="76" spans="4:12" ht="38.25">
      <c r="D76" s="727"/>
      <c r="E76" s="731" t="s">
        <v>462</v>
      </c>
      <c r="F76" s="727" t="s">
        <v>481</v>
      </c>
      <c r="G76" s="727" t="s">
        <v>494</v>
      </c>
      <c r="H76" s="626" t="s">
        <v>463</v>
      </c>
      <c r="L76" s="55" t="s">
        <v>487</v>
      </c>
    </row>
    <row r="77" spans="4:12" ht="64.5" thickBot="1">
      <c r="D77" s="728"/>
      <c r="E77" s="732"/>
      <c r="F77" s="728" t="s">
        <v>481</v>
      </c>
      <c r="G77" s="728"/>
      <c r="H77" s="627" t="s">
        <v>464</v>
      </c>
      <c r="I77" s="660" t="s">
        <v>495</v>
      </c>
      <c r="J77" s="661" t="s">
        <v>496</v>
      </c>
      <c r="K77" t="s">
        <v>489</v>
      </c>
      <c r="L77" s="638">
        <f>Domestic!T103</f>
        <v>243765.11546728638</v>
      </c>
    </row>
    <row r="78" spans="4:12" ht="39" thickBot="1">
      <c r="D78" s="729" t="s">
        <v>38</v>
      </c>
      <c r="E78" s="628" t="s">
        <v>465</v>
      </c>
      <c r="F78" s="644">
        <f>Domestic!S103</f>
        <v>196381.81546728636</v>
      </c>
      <c r="G78" s="643">
        <f>(F78/$L$83)*100</f>
        <v>28.693649732485632</v>
      </c>
      <c r="H78" s="724">
        <v>0.82</v>
      </c>
      <c r="I78" s="659">
        <v>20</v>
      </c>
      <c r="J78" s="662">
        <v>592000</v>
      </c>
      <c r="K78" t="s">
        <v>484</v>
      </c>
      <c r="L78" s="638">
        <f>'Industry &amp; Commercial(inc SoJ)'!$T$70</f>
        <v>135500.46158394217</v>
      </c>
    </row>
    <row r="79" spans="4:12" ht="38.25">
      <c r="D79" s="733"/>
      <c r="E79" s="631" t="s">
        <v>482</v>
      </c>
      <c r="F79" s="645">
        <f>Domestic!S104</f>
        <v>18648</v>
      </c>
      <c r="G79" s="640">
        <f aca="true" t="shared" si="5" ref="G79:G93">(F79/$L$83)*100</f>
        <v>2.7246880213332507</v>
      </c>
      <c r="H79" s="725"/>
      <c r="I79" s="655">
        <v>4</v>
      </c>
      <c r="J79" s="663"/>
      <c r="K79" t="s">
        <v>52</v>
      </c>
      <c r="L79" s="164">
        <f>Agriculture!S30</f>
        <v>29609.626708255535</v>
      </c>
    </row>
    <row r="80" spans="4:12" ht="30.75" customHeight="1" thickBot="1">
      <c r="D80" s="733"/>
      <c r="E80" s="628" t="s">
        <v>466</v>
      </c>
      <c r="F80" s="645">
        <f>Domestic!S105</f>
        <v>14444.799999999996</v>
      </c>
      <c r="G80" s="640">
        <f>(F80/$L$83)*100</f>
        <v>2.1105519911279775</v>
      </c>
      <c r="H80" s="725"/>
      <c r="I80" s="655">
        <v>4</v>
      </c>
      <c r="J80" s="219"/>
      <c r="K80" t="s">
        <v>485</v>
      </c>
      <c r="L80" s="638">
        <f>Transport!R62</f>
        <v>215900.0754090774</v>
      </c>
    </row>
    <row r="81" spans="4:12" ht="30.75" customHeight="1" thickBot="1">
      <c r="D81" s="733"/>
      <c r="E81" s="628" t="s">
        <v>467</v>
      </c>
      <c r="F81" s="646">
        <f>0</f>
        <v>0</v>
      </c>
      <c r="G81" s="640">
        <f t="shared" si="5"/>
        <v>0</v>
      </c>
      <c r="H81" s="725"/>
      <c r="I81" s="655">
        <v>5</v>
      </c>
      <c r="J81" s="219"/>
      <c r="K81" t="s">
        <v>35</v>
      </c>
      <c r="L81" s="638">
        <f>Aviation!Q44</f>
        <v>55251.352351575406</v>
      </c>
    </row>
    <row r="82" spans="4:12" ht="39" thickBot="1">
      <c r="D82" s="730"/>
      <c r="E82" s="628" t="s">
        <v>468</v>
      </c>
      <c r="F82" s="649">
        <f>Domestic!S106</f>
        <v>14290.5</v>
      </c>
      <c r="G82" s="650">
        <f t="shared" si="5"/>
        <v>2.088006980312249</v>
      </c>
      <c r="H82" s="726"/>
      <c r="I82" s="656">
        <v>9</v>
      </c>
      <c r="J82" s="219"/>
      <c r="K82" t="s">
        <v>486</v>
      </c>
      <c r="L82" s="55">
        <v>4382</v>
      </c>
    </row>
    <row r="83" spans="4:12" ht="34.5" customHeight="1" thickBot="1">
      <c r="D83" s="729" t="s">
        <v>469</v>
      </c>
      <c r="E83" s="628" t="s">
        <v>470</v>
      </c>
      <c r="F83" s="651">
        <f>'Industry &amp; Commercial(inc SoJ)'!S70</f>
        <v>4110.8071375000145</v>
      </c>
      <c r="G83" s="652">
        <f t="shared" si="5"/>
        <v>0.6006363666643887</v>
      </c>
      <c r="H83" s="724">
        <v>0.45</v>
      </c>
      <c r="I83" s="656">
        <v>8</v>
      </c>
      <c r="J83" s="219"/>
      <c r="K83" s="152" t="s">
        <v>488</v>
      </c>
      <c r="L83" s="639">
        <f>SUM(L77:L82)</f>
        <v>684408.631520137</v>
      </c>
    </row>
    <row r="84" spans="4:10" ht="39" thickBot="1">
      <c r="D84" s="730"/>
      <c r="E84" s="628" t="s">
        <v>471</v>
      </c>
      <c r="F84" s="651">
        <f>'Industry &amp; Commercial(inc SoJ)'!S71</f>
        <v>131389.65444644217</v>
      </c>
      <c r="G84" s="653">
        <f t="shared" si="5"/>
        <v>19.197544916202062</v>
      </c>
      <c r="H84" s="726"/>
      <c r="I84" s="657">
        <v>16</v>
      </c>
      <c r="J84" s="219">
        <v>80000</v>
      </c>
    </row>
    <row r="85" spans="4:10" ht="26.25" thickBot="1">
      <c r="D85" s="729" t="s">
        <v>52</v>
      </c>
      <c r="E85" s="628" t="s">
        <v>472</v>
      </c>
      <c r="F85" s="654">
        <f>Agriculture!Q30</f>
        <v>7997.310163826902</v>
      </c>
      <c r="G85" s="641">
        <f t="shared" si="5"/>
        <v>1.1684993139353184</v>
      </c>
      <c r="H85" s="724">
        <v>0.71</v>
      </c>
      <c r="I85" s="655">
        <v>2</v>
      </c>
      <c r="J85" s="219"/>
    </row>
    <row r="86" spans="4:10" ht="51.75" thickBot="1">
      <c r="D86" s="730"/>
      <c r="E86" s="628" t="s">
        <v>473</v>
      </c>
      <c r="F86" s="654">
        <f>Agriculture!Q31</f>
        <v>21612.316544428635</v>
      </c>
      <c r="G86" s="641">
        <f t="shared" si="5"/>
        <v>3.1578088804090054</v>
      </c>
      <c r="H86" s="726"/>
      <c r="I86" s="656">
        <v>9</v>
      </c>
      <c r="J86" s="219"/>
    </row>
    <row r="87" spans="4:10" ht="26.25" thickBot="1">
      <c r="D87" s="729" t="s">
        <v>36</v>
      </c>
      <c r="E87" s="628" t="s">
        <v>474</v>
      </c>
      <c r="F87" s="647">
        <f>Transport!Q64</f>
        <v>28722.83981851759</v>
      </c>
      <c r="G87" s="641">
        <f t="shared" si="5"/>
        <v>4.196738395119509</v>
      </c>
      <c r="H87" s="724">
        <v>0.78</v>
      </c>
      <c r="I87" s="655">
        <v>3</v>
      </c>
      <c r="J87" s="219"/>
    </row>
    <row r="88" spans="4:10" ht="26.25" thickBot="1">
      <c r="D88" s="733"/>
      <c r="E88" s="628" t="s">
        <v>475</v>
      </c>
      <c r="F88" s="647">
        <f>Transport!Q63</f>
        <v>9481.362586161486</v>
      </c>
      <c r="G88" s="641">
        <f t="shared" si="5"/>
        <v>1.3853365006666374</v>
      </c>
      <c r="H88" s="725"/>
      <c r="I88" s="655">
        <v>3</v>
      </c>
      <c r="J88" s="219"/>
    </row>
    <row r="89" spans="4:10" ht="26.25" thickBot="1">
      <c r="D89" s="733"/>
      <c r="E89" s="628" t="s">
        <v>476</v>
      </c>
      <c r="F89" s="647">
        <f>Transport!Q66</f>
        <v>157468.7037583472</v>
      </c>
      <c r="G89" s="643">
        <f t="shared" si="5"/>
        <v>23.007995005643657</v>
      </c>
      <c r="H89" s="725"/>
      <c r="I89" s="658">
        <v>15</v>
      </c>
      <c r="J89" s="219">
        <v>500000</v>
      </c>
    </row>
    <row r="90" spans="4:10" ht="39" thickBot="1">
      <c r="D90" s="733"/>
      <c r="E90" s="628" t="s">
        <v>477</v>
      </c>
      <c r="F90" s="647">
        <f>Transport!Q67</f>
        <v>2463.551999999996</v>
      </c>
      <c r="G90" s="641">
        <f t="shared" si="5"/>
        <v>0.3599533796831597</v>
      </c>
      <c r="H90" s="725"/>
      <c r="I90" s="656">
        <v>8</v>
      </c>
      <c r="J90" s="219"/>
    </row>
    <row r="91" spans="4:10" ht="39" thickBot="1">
      <c r="D91" s="730"/>
      <c r="E91" s="628" t="s">
        <v>478</v>
      </c>
      <c r="F91" s="647">
        <f>Transport!Q65</f>
        <v>17763.617246051115</v>
      </c>
      <c r="G91" s="641">
        <f t="shared" si="5"/>
        <v>2.595469494093963</v>
      </c>
      <c r="H91" s="726"/>
      <c r="I91" s="656">
        <v>9</v>
      </c>
      <c r="J91" s="219"/>
    </row>
    <row r="92" spans="4:10" ht="26.25" thickBot="1">
      <c r="D92" s="630" t="s">
        <v>35</v>
      </c>
      <c r="E92" s="628" t="s">
        <v>479</v>
      </c>
      <c r="F92" s="647">
        <f>Aviation!Q44</f>
        <v>55251.352351575406</v>
      </c>
      <c r="G92" s="642">
        <f t="shared" si="5"/>
        <v>8.072860248541412</v>
      </c>
      <c r="H92" s="629">
        <v>0.45</v>
      </c>
      <c r="I92" s="655">
        <v>6</v>
      </c>
      <c r="J92" s="219"/>
    </row>
    <row r="93" spans="4:10" ht="13.5" thickBot="1">
      <c r="D93" s="630" t="s">
        <v>51</v>
      </c>
      <c r="E93" s="628" t="s">
        <v>480</v>
      </c>
      <c r="F93" s="648">
        <f>L82</f>
        <v>4382</v>
      </c>
      <c r="G93" s="664">
        <f t="shared" si="5"/>
        <v>0.6402607737817624</v>
      </c>
      <c r="H93" s="665">
        <v>0.02</v>
      </c>
      <c r="I93" s="666">
        <v>4</v>
      </c>
      <c r="J93" s="76"/>
    </row>
  </sheetData>
  <mergeCells count="12">
    <mergeCell ref="D87:D91"/>
    <mergeCell ref="H87:H91"/>
    <mergeCell ref="D83:D84"/>
    <mergeCell ref="H83:H84"/>
    <mergeCell ref="H78:H82"/>
    <mergeCell ref="G76:G77"/>
    <mergeCell ref="F76:F77"/>
    <mergeCell ref="D85:D86"/>
    <mergeCell ref="H85:H86"/>
    <mergeCell ref="D76:D77"/>
    <mergeCell ref="E76:E77"/>
    <mergeCell ref="D78:D82"/>
  </mergeCells>
  <conditionalFormatting sqref="M22:M31">
    <cfRule type="cellIs" priority="1" dxfId="2" operator="lessThan" stopIfTrue="1">
      <formula>$P$26</formula>
    </cfRule>
    <cfRule type="cellIs" priority="2" dxfId="1" operator="greaterThan" stopIfTrue="1">
      <formula>$P$26</formula>
    </cfRule>
  </conditionalFormatting>
  <printOptions/>
  <pageMargins left="0.75" right="0.75" top="1" bottom="1" header="0.5" footer="0.5"/>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U140"/>
  <sheetViews>
    <sheetView workbookViewId="0" topLeftCell="A1">
      <selection activeCell="D31" sqref="D31"/>
    </sheetView>
  </sheetViews>
  <sheetFormatPr defaultColWidth="9.140625" defaultRowHeight="12.75"/>
  <cols>
    <col min="1" max="1" width="24.140625" style="0" customWidth="1"/>
    <col min="2" max="2" width="12.7109375" style="0" customWidth="1"/>
    <col min="3" max="3" width="14.421875" style="0" bestFit="1" customWidth="1"/>
    <col min="5" max="5" width="15.421875" style="0" customWidth="1"/>
    <col min="10" max="10" width="16.421875" style="0" customWidth="1"/>
    <col min="11" max="11" width="4.57421875" style="0" hidden="1" customWidth="1"/>
    <col min="12" max="12" width="14.00390625" style="0" customWidth="1"/>
    <col min="15" max="15" width="16.8515625" style="0" customWidth="1"/>
    <col min="17" max="17" width="29.421875" style="0" customWidth="1"/>
    <col min="18" max="18" width="12.421875" style="0" customWidth="1"/>
    <col min="19" max="20" width="13.28125" style="0" customWidth="1"/>
  </cols>
  <sheetData>
    <row r="1" spans="1:21" ht="18">
      <c r="A1" s="464" t="s">
        <v>405</v>
      </c>
      <c r="B1" s="465"/>
      <c r="C1" s="465"/>
      <c r="D1" s="465"/>
      <c r="E1" s="465"/>
      <c r="F1" s="465"/>
      <c r="G1" s="465"/>
      <c r="H1" s="465"/>
      <c r="I1" s="465"/>
      <c r="J1" s="465"/>
      <c r="K1" s="465"/>
      <c r="L1" s="465"/>
      <c r="M1" s="465"/>
      <c r="N1" s="465"/>
      <c r="O1" s="465"/>
      <c r="P1" s="465"/>
      <c r="Q1" s="465"/>
      <c r="R1" s="465"/>
      <c r="S1" s="465"/>
      <c r="T1" s="465"/>
      <c r="U1" s="465"/>
    </row>
    <row r="2" spans="1:21" ht="15.75">
      <c r="A2" s="466" t="s">
        <v>317</v>
      </c>
      <c r="B2" s="467"/>
      <c r="C2" s="467"/>
      <c r="D2" s="467"/>
      <c r="E2" s="467"/>
      <c r="F2" s="468"/>
      <c r="G2" s="467"/>
      <c r="H2" s="467"/>
      <c r="I2" s="467"/>
      <c r="J2" s="467"/>
      <c r="K2" s="467"/>
      <c r="L2" s="467"/>
      <c r="M2" s="468"/>
      <c r="N2" s="468"/>
      <c r="O2" s="468"/>
      <c r="P2" s="468"/>
      <c r="Q2" s="468"/>
      <c r="R2" s="468"/>
      <c r="S2" s="468"/>
      <c r="T2" s="468"/>
      <c r="U2" s="465"/>
    </row>
    <row r="3" spans="1:21" ht="12.75">
      <c r="A3" s="465" t="s">
        <v>311</v>
      </c>
      <c r="B3" s="465"/>
      <c r="C3" s="469"/>
      <c r="D3" s="469"/>
      <c r="E3" s="469"/>
      <c r="F3" s="469"/>
      <c r="G3" s="469"/>
      <c r="H3" s="465"/>
      <c r="I3" s="465"/>
      <c r="J3" s="465"/>
      <c r="K3" s="465"/>
      <c r="L3" s="470"/>
      <c r="M3" s="469"/>
      <c r="N3" s="469"/>
      <c r="O3" s="469"/>
      <c r="P3" s="469"/>
      <c r="Q3" s="469"/>
      <c r="R3" s="469"/>
      <c r="S3" s="469"/>
      <c r="T3" s="469"/>
      <c r="U3" s="465"/>
    </row>
    <row r="4" spans="1:21" ht="12.75">
      <c r="A4" s="795" t="s">
        <v>286</v>
      </c>
      <c r="B4" s="797" t="s">
        <v>320</v>
      </c>
      <c r="C4" s="799" t="s">
        <v>309</v>
      </c>
      <c r="D4" s="799" t="s">
        <v>313</v>
      </c>
      <c r="E4" s="777" t="s">
        <v>310</v>
      </c>
      <c r="F4" s="777" t="s">
        <v>393</v>
      </c>
      <c r="G4" s="808" t="s">
        <v>299</v>
      </c>
      <c r="H4" s="804" t="s">
        <v>296</v>
      </c>
      <c r="I4" s="777" t="s">
        <v>314</v>
      </c>
      <c r="J4" s="813" t="s">
        <v>315</v>
      </c>
      <c r="K4" s="465"/>
      <c r="L4" s="815" t="s">
        <v>394</v>
      </c>
      <c r="M4" s="777" t="s">
        <v>367</v>
      </c>
      <c r="N4" s="777" t="s">
        <v>353</v>
      </c>
      <c r="O4" s="777" t="s">
        <v>354</v>
      </c>
      <c r="P4" s="777" t="s">
        <v>368</v>
      </c>
      <c r="Q4" s="777" t="s">
        <v>355</v>
      </c>
      <c r="R4" s="777" t="s">
        <v>363</v>
      </c>
      <c r="S4" s="777" t="s">
        <v>364</v>
      </c>
      <c r="T4" s="777" t="s">
        <v>362</v>
      </c>
      <c r="U4" s="465"/>
    </row>
    <row r="5" spans="1:21" ht="31.5" customHeight="1">
      <c r="A5" s="796"/>
      <c r="B5" s="798"/>
      <c r="C5" s="800"/>
      <c r="D5" s="800"/>
      <c r="E5" s="778"/>
      <c r="F5" s="778"/>
      <c r="G5" s="796"/>
      <c r="H5" s="805"/>
      <c r="I5" s="778"/>
      <c r="J5" s="814"/>
      <c r="K5" s="465"/>
      <c r="L5" s="816"/>
      <c r="M5" s="778"/>
      <c r="N5" s="778"/>
      <c r="O5" s="778"/>
      <c r="P5" s="778"/>
      <c r="Q5" s="778"/>
      <c r="R5" s="778"/>
      <c r="S5" s="778"/>
      <c r="T5" s="778"/>
      <c r="U5" s="465"/>
    </row>
    <row r="6" spans="1:21" ht="12.75">
      <c r="A6" s="791" t="s">
        <v>287</v>
      </c>
      <c r="B6" s="791">
        <v>888</v>
      </c>
      <c r="C6" s="787" t="e">
        <v>#REF!</v>
      </c>
      <c r="D6" s="787" t="e">
        <v>#REF!</v>
      </c>
      <c r="E6" s="770">
        <v>64.23829787234044</v>
      </c>
      <c r="F6" s="770">
        <v>5144.58</v>
      </c>
      <c r="G6" s="770">
        <v>330.47906246808515</v>
      </c>
      <c r="H6" s="806" t="e">
        <v>#REF!</v>
      </c>
      <c r="I6" s="809">
        <v>235.7545531914894</v>
      </c>
      <c r="J6" s="772">
        <v>1212.8581592578726</v>
      </c>
      <c r="K6" s="465"/>
      <c r="L6" s="773">
        <v>5249.19</v>
      </c>
      <c r="M6" s="783">
        <v>1.5</v>
      </c>
      <c r="N6" s="783">
        <v>3</v>
      </c>
      <c r="O6" s="779" t="s">
        <v>365</v>
      </c>
      <c r="P6" s="783">
        <v>4.5</v>
      </c>
      <c r="Q6" s="770">
        <v>46771.965000000004</v>
      </c>
      <c r="R6" s="770">
        <v>6236.262000000001</v>
      </c>
      <c r="S6" s="770">
        <v>27.352026315789477</v>
      </c>
      <c r="T6" s="775">
        <v>1.3676013157894737</v>
      </c>
      <c r="U6" s="465"/>
    </row>
    <row r="7" spans="1:21" ht="12.75">
      <c r="A7" s="792"/>
      <c r="B7" s="792"/>
      <c r="C7" s="788"/>
      <c r="D7" s="788"/>
      <c r="E7" s="771"/>
      <c r="F7" s="771"/>
      <c r="G7" s="771"/>
      <c r="H7" s="807"/>
      <c r="I7" s="810"/>
      <c r="J7" s="772"/>
      <c r="K7" s="465"/>
      <c r="L7" s="774"/>
      <c r="M7" s="784"/>
      <c r="N7" s="784"/>
      <c r="O7" s="780"/>
      <c r="P7" s="784"/>
      <c r="Q7" s="771"/>
      <c r="R7" s="771"/>
      <c r="S7" s="771"/>
      <c r="T7" s="776"/>
      <c r="U7" s="465"/>
    </row>
    <row r="8" spans="1:21" ht="12.75">
      <c r="A8" s="791" t="s">
        <v>288</v>
      </c>
      <c r="B8" s="791">
        <v>4741</v>
      </c>
      <c r="C8" s="787" t="e">
        <v>#REF!</v>
      </c>
      <c r="D8" s="787" t="e">
        <v>#REF!</v>
      </c>
      <c r="E8" s="770">
        <v>343.5830588235294</v>
      </c>
      <c r="F8" s="770">
        <v>9527</v>
      </c>
      <c r="G8" s="770">
        <v>3273.315801411765</v>
      </c>
      <c r="H8" s="806" t="e">
        <v>#REF!</v>
      </c>
      <c r="I8" s="810">
        <v>1260.949825882353</v>
      </c>
      <c r="J8" s="772">
        <v>12013.068991181177</v>
      </c>
      <c r="K8" s="465"/>
      <c r="L8" s="773">
        <v>10123</v>
      </c>
      <c r="M8" s="783">
        <v>3</v>
      </c>
      <c r="N8" s="783">
        <v>15</v>
      </c>
      <c r="O8" s="779" t="s">
        <v>356</v>
      </c>
      <c r="P8" s="783">
        <v>18</v>
      </c>
      <c r="Q8" s="770">
        <v>353700</v>
      </c>
      <c r="R8" s="770">
        <v>47160</v>
      </c>
      <c r="S8" s="770">
        <v>206.8421052631579</v>
      </c>
      <c r="T8" s="775">
        <v>10.342105263157894</v>
      </c>
      <c r="U8" s="465"/>
    </row>
    <row r="9" spans="1:21" ht="12.75">
      <c r="A9" s="792"/>
      <c r="B9" s="792"/>
      <c r="C9" s="788"/>
      <c r="D9" s="788"/>
      <c r="E9" s="771">
        <v>0</v>
      </c>
      <c r="F9" s="771"/>
      <c r="G9" s="771"/>
      <c r="H9" s="807"/>
      <c r="I9" s="810"/>
      <c r="J9" s="772"/>
      <c r="K9" s="465"/>
      <c r="L9" s="774"/>
      <c r="M9" s="784"/>
      <c r="N9" s="784"/>
      <c r="O9" s="780"/>
      <c r="P9" s="784"/>
      <c r="Q9" s="771"/>
      <c r="R9" s="771"/>
      <c r="S9" s="771"/>
      <c r="T9" s="776"/>
      <c r="U9" s="465"/>
    </row>
    <row r="10" spans="1:21" ht="12.75">
      <c r="A10" s="791" t="s">
        <v>294</v>
      </c>
      <c r="B10" s="791">
        <v>1723</v>
      </c>
      <c r="C10" s="787" t="e">
        <v>#REF!</v>
      </c>
      <c r="D10" s="787" t="e">
        <v>#REF!</v>
      </c>
      <c r="E10" s="770">
        <v>124.86682352941176</v>
      </c>
      <c r="F10" s="770">
        <v>4294.7716</v>
      </c>
      <c r="G10" s="770">
        <v>536.2744874763295</v>
      </c>
      <c r="H10" s="806" t="e">
        <v>#REF!</v>
      </c>
      <c r="I10" s="810">
        <v>458.26124235294117</v>
      </c>
      <c r="J10" s="772">
        <v>1968.127369038129</v>
      </c>
      <c r="K10" s="465"/>
      <c r="L10" s="773">
        <v>452.3747999999996</v>
      </c>
      <c r="M10" s="783">
        <v>3</v>
      </c>
      <c r="N10" s="783">
        <v>15</v>
      </c>
      <c r="O10" s="779" t="s">
        <v>356</v>
      </c>
      <c r="P10" s="783">
        <v>18</v>
      </c>
      <c r="Q10" s="770">
        <v>85448.63519999999</v>
      </c>
      <c r="R10" s="770">
        <v>11393.151359999998</v>
      </c>
      <c r="S10" s="770">
        <v>49.96996210526315</v>
      </c>
      <c r="T10" s="775">
        <v>2.4984981052631574</v>
      </c>
      <c r="U10" s="465"/>
    </row>
    <row r="11" spans="1:21" ht="12.75">
      <c r="A11" s="792"/>
      <c r="B11" s="792"/>
      <c r="C11" s="788"/>
      <c r="D11" s="788"/>
      <c r="E11" s="771">
        <v>0</v>
      </c>
      <c r="F11" s="771"/>
      <c r="G11" s="771"/>
      <c r="H11" s="807"/>
      <c r="I11" s="810"/>
      <c r="J11" s="772"/>
      <c r="K11" s="465"/>
      <c r="L11" s="774"/>
      <c r="M11" s="784"/>
      <c r="N11" s="784"/>
      <c r="O11" s="780"/>
      <c r="P11" s="784"/>
      <c r="Q11" s="771"/>
      <c r="R11" s="771"/>
      <c r="S11" s="771"/>
      <c r="T11" s="776"/>
      <c r="U11" s="465"/>
    </row>
    <row r="12" spans="1:21" ht="12.75">
      <c r="A12" s="802" t="s">
        <v>297</v>
      </c>
      <c r="B12" s="802">
        <v>2775</v>
      </c>
      <c r="C12" s="787" t="e">
        <v>#REF!</v>
      </c>
      <c r="D12" s="787" t="e">
        <v>#REF!</v>
      </c>
      <c r="E12" s="789">
        <v>201.10588235294117</v>
      </c>
      <c r="F12" s="789">
        <v>4747</v>
      </c>
      <c r="G12" s="789">
        <v>954.6496235294118</v>
      </c>
      <c r="H12" s="806" t="e">
        <v>#REF!</v>
      </c>
      <c r="I12" s="811">
        <v>738.0585882352941</v>
      </c>
      <c r="J12" s="772">
        <v>0</v>
      </c>
      <c r="K12" s="471"/>
      <c r="L12" s="817"/>
      <c r="M12" s="785"/>
      <c r="N12" s="785"/>
      <c r="O12" s="781"/>
      <c r="P12" s="783">
        <v>0</v>
      </c>
      <c r="Q12" s="770">
        <v>0</v>
      </c>
      <c r="R12" s="770">
        <v>0</v>
      </c>
      <c r="S12" s="770">
        <v>0</v>
      </c>
      <c r="T12" s="775">
        <v>0</v>
      </c>
      <c r="U12" s="465"/>
    </row>
    <row r="13" spans="1:21" ht="12.75">
      <c r="A13" s="803"/>
      <c r="B13" s="803"/>
      <c r="C13" s="788"/>
      <c r="D13" s="788"/>
      <c r="E13" s="790">
        <v>0</v>
      </c>
      <c r="F13" s="790"/>
      <c r="G13" s="790"/>
      <c r="H13" s="807"/>
      <c r="I13" s="811"/>
      <c r="J13" s="772"/>
      <c r="K13" s="471"/>
      <c r="L13" s="818"/>
      <c r="M13" s="786"/>
      <c r="N13" s="786"/>
      <c r="O13" s="782"/>
      <c r="P13" s="784"/>
      <c r="Q13" s="771"/>
      <c r="R13" s="771"/>
      <c r="S13" s="771"/>
      <c r="T13" s="776"/>
      <c r="U13" s="465"/>
    </row>
    <row r="14" spans="1:21" ht="12.75">
      <c r="A14" s="791" t="s">
        <v>289</v>
      </c>
      <c r="B14" s="791">
        <v>1228</v>
      </c>
      <c r="C14" s="787" t="e">
        <v>#REF!</v>
      </c>
      <c r="D14" s="787" t="e">
        <v>#REF!</v>
      </c>
      <c r="E14" s="770">
        <v>88.99388235294117</v>
      </c>
      <c r="F14" s="770">
        <v>1905.4</v>
      </c>
      <c r="G14" s="770">
        <v>169.56894343529413</v>
      </c>
      <c r="H14" s="806" t="e">
        <v>#REF!</v>
      </c>
      <c r="I14" s="810">
        <v>326.6075482352941</v>
      </c>
      <c r="J14" s="772">
        <v>622.3180224075295</v>
      </c>
      <c r="K14" s="465"/>
      <c r="L14" s="773">
        <v>1651</v>
      </c>
      <c r="M14" s="783">
        <v>2</v>
      </c>
      <c r="N14" s="783">
        <v>7.5</v>
      </c>
      <c r="O14" s="779" t="s">
        <v>357</v>
      </c>
      <c r="P14" s="783">
        <v>9.5</v>
      </c>
      <c r="Q14" s="770">
        <v>33785.8</v>
      </c>
      <c r="R14" s="770">
        <v>4504.7733333333335</v>
      </c>
      <c r="S14" s="770">
        <v>19.75777777777778</v>
      </c>
      <c r="T14" s="775">
        <v>0.9878888888888889</v>
      </c>
      <c r="U14" s="465"/>
    </row>
    <row r="15" spans="1:21" ht="12.75">
      <c r="A15" s="792"/>
      <c r="B15" s="792"/>
      <c r="C15" s="788"/>
      <c r="D15" s="788"/>
      <c r="E15" s="771">
        <v>0</v>
      </c>
      <c r="F15" s="771"/>
      <c r="G15" s="771"/>
      <c r="H15" s="807"/>
      <c r="I15" s="810"/>
      <c r="J15" s="772"/>
      <c r="K15" s="465"/>
      <c r="L15" s="774"/>
      <c r="M15" s="784"/>
      <c r="N15" s="784"/>
      <c r="O15" s="780"/>
      <c r="P15" s="784"/>
      <c r="Q15" s="771"/>
      <c r="R15" s="771"/>
      <c r="S15" s="771"/>
      <c r="T15" s="776"/>
      <c r="U15" s="465"/>
    </row>
    <row r="16" spans="1:21" ht="12.75">
      <c r="A16" s="791" t="s">
        <v>290</v>
      </c>
      <c r="B16" s="791">
        <v>692</v>
      </c>
      <c r="C16" s="787" t="e">
        <v>#REF!</v>
      </c>
      <c r="D16" s="787" t="e">
        <v>#REF!</v>
      </c>
      <c r="E16" s="770">
        <v>50.14964705882353</v>
      </c>
      <c r="F16" s="770">
        <v>10098.62</v>
      </c>
      <c r="G16" s="770">
        <v>506.44222878117654</v>
      </c>
      <c r="H16" s="806" t="e">
        <v>#REF!</v>
      </c>
      <c r="I16" s="810">
        <v>184.04920470588237</v>
      </c>
      <c r="J16" s="772">
        <v>1858.6429796269178</v>
      </c>
      <c r="K16" s="465"/>
      <c r="L16" s="773">
        <v>10304.41</v>
      </c>
      <c r="M16" s="783">
        <v>1.5</v>
      </c>
      <c r="N16" s="783">
        <v>2</v>
      </c>
      <c r="O16" s="779"/>
      <c r="P16" s="783">
        <v>3.5</v>
      </c>
      <c r="Q16" s="770">
        <v>71410.605</v>
      </c>
      <c r="R16" s="770">
        <v>9521.413999999999</v>
      </c>
      <c r="S16" s="770">
        <v>41.76058771929824</v>
      </c>
      <c r="T16" s="775">
        <v>2.088029385964912</v>
      </c>
      <c r="U16" s="465"/>
    </row>
    <row r="17" spans="1:21" ht="12.75">
      <c r="A17" s="792"/>
      <c r="B17" s="792"/>
      <c r="C17" s="788"/>
      <c r="D17" s="788"/>
      <c r="E17" s="771">
        <v>0</v>
      </c>
      <c r="F17" s="771"/>
      <c r="G17" s="771"/>
      <c r="H17" s="807"/>
      <c r="I17" s="810"/>
      <c r="J17" s="772"/>
      <c r="K17" s="465"/>
      <c r="L17" s="774"/>
      <c r="M17" s="784"/>
      <c r="N17" s="784"/>
      <c r="O17" s="780"/>
      <c r="P17" s="784"/>
      <c r="Q17" s="771"/>
      <c r="R17" s="771"/>
      <c r="S17" s="771"/>
      <c r="T17" s="776"/>
      <c r="U17" s="465"/>
    </row>
    <row r="18" spans="1:21" ht="12.75">
      <c r="A18" s="791" t="s">
        <v>291</v>
      </c>
      <c r="B18" s="793">
        <v>15605</v>
      </c>
      <c r="C18" s="787" t="e">
        <v>#REF!</v>
      </c>
      <c r="D18" s="787" t="e">
        <v>#REF!</v>
      </c>
      <c r="E18" s="770">
        <v>1130.9035294117648</v>
      </c>
      <c r="F18" s="770">
        <v>2858.1</v>
      </c>
      <c r="G18" s="770">
        <v>3232.235377411765</v>
      </c>
      <c r="H18" s="806" t="e">
        <v>#REF!</v>
      </c>
      <c r="I18" s="810">
        <v>4150.415952941176</v>
      </c>
      <c r="J18" s="772">
        <v>11862.303835101178</v>
      </c>
      <c r="K18" s="465"/>
      <c r="L18" s="773">
        <v>2370</v>
      </c>
      <c r="M18" s="783">
        <v>7.5</v>
      </c>
      <c r="N18" s="783">
        <v>75</v>
      </c>
      <c r="O18" s="779" t="s">
        <v>358</v>
      </c>
      <c r="P18" s="783">
        <v>82.5</v>
      </c>
      <c r="Q18" s="770">
        <v>431318.25</v>
      </c>
      <c r="R18" s="770">
        <v>57509.1</v>
      </c>
      <c r="S18" s="770">
        <v>252.23289473684213</v>
      </c>
      <c r="T18" s="775">
        <v>12.611644736842106</v>
      </c>
      <c r="U18" s="465"/>
    </row>
    <row r="19" spans="1:21" ht="12.75">
      <c r="A19" s="792"/>
      <c r="B19" s="794"/>
      <c r="C19" s="788"/>
      <c r="D19" s="788"/>
      <c r="E19" s="771">
        <v>0</v>
      </c>
      <c r="F19" s="771"/>
      <c r="G19" s="771"/>
      <c r="H19" s="807"/>
      <c r="I19" s="810"/>
      <c r="J19" s="772"/>
      <c r="K19" s="465"/>
      <c r="L19" s="774"/>
      <c r="M19" s="784"/>
      <c r="N19" s="784"/>
      <c r="O19" s="780"/>
      <c r="P19" s="784"/>
      <c r="Q19" s="771"/>
      <c r="R19" s="771"/>
      <c r="S19" s="771"/>
      <c r="T19" s="776"/>
      <c r="U19" s="465"/>
    </row>
    <row r="20" spans="1:21" ht="12.75">
      <c r="A20" s="791" t="s">
        <v>292</v>
      </c>
      <c r="B20" s="791">
        <v>8291</v>
      </c>
      <c r="C20" s="787" t="e">
        <v>#REF!</v>
      </c>
      <c r="D20" s="787" t="e">
        <v>#REF!</v>
      </c>
      <c r="E20" s="770">
        <v>539.4940365719322</v>
      </c>
      <c r="F20" s="770">
        <v>17148.6</v>
      </c>
      <c r="G20" s="770">
        <v>9251.567435557436</v>
      </c>
      <c r="H20" s="806" t="e">
        <v>#REF!</v>
      </c>
      <c r="I20" s="810">
        <v>1979.943114218991</v>
      </c>
      <c r="J20" s="772">
        <v>33953.2524884958</v>
      </c>
      <c r="K20" s="465"/>
      <c r="L20" s="773">
        <v>521.1230000000032</v>
      </c>
      <c r="M20" s="783">
        <v>5</v>
      </c>
      <c r="N20" s="783">
        <v>30</v>
      </c>
      <c r="O20" s="779" t="s">
        <v>366</v>
      </c>
      <c r="P20" s="783">
        <v>35</v>
      </c>
      <c r="Q20" s="770">
        <v>618440.3050000002</v>
      </c>
      <c r="R20" s="770">
        <v>82458.70733333335</v>
      </c>
      <c r="S20" s="770">
        <v>361.6609970760235</v>
      </c>
      <c r="T20" s="775">
        <v>18.083049853801175</v>
      </c>
      <c r="U20" s="465"/>
    </row>
    <row r="21" spans="1:21" ht="12.75">
      <c r="A21" s="792"/>
      <c r="B21" s="792"/>
      <c r="C21" s="788"/>
      <c r="D21" s="788"/>
      <c r="E21" s="771"/>
      <c r="F21" s="771"/>
      <c r="G21" s="771"/>
      <c r="H21" s="807"/>
      <c r="I21" s="810"/>
      <c r="J21" s="772"/>
      <c r="K21" s="465"/>
      <c r="L21" s="774"/>
      <c r="M21" s="784"/>
      <c r="N21" s="784"/>
      <c r="O21" s="780"/>
      <c r="P21" s="784"/>
      <c r="Q21" s="771"/>
      <c r="R21" s="771"/>
      <c r="S21" s="771"/>
      <c r="T21" s="776"/>
      <c r="U21" s="465"/>
    </row>
    <row r="22" spans="1:21" ht="12.75">
      <c r="A22" s="801" t="s">
        <v>295</v>
      </c>
      <c r="B22" s="793">
        <v>2430</v>
      </c>
      <c r="C22" s="787" t="e">
        <v>#REF!</v>
      </c>
      <c r="D22" s="787" t="e">
        <v>#REF!</v>
      </c>
      <c r="E22" s="770">
        <v>176.10352941176473</v>
      </c>
      <c r="F22" s="770">
        <v>3048.64</v>
      </c>
      <c r="G22" s="770">
        <v>536.8762639058824</v>
      </c>
      <c r="H22" s="806" t="e">
        <v>#REF!</v>
      </c>
      <c r="I22" s="810">
        <v>646.2999529411766</v>
      </c>
      <c r="J22" s="772">
        <v>1970.3358885345883</v>
      </c>
      <c r="K22" s="465"/>
      <c r="L22" s="773">
        <v>3110.52</v>
      </c>
      <c r="M22" s="783">
        <v>7.5</v>
      </c>
      <c r="N22" s="783">
        <v>45</v>
      </c>
      <c r="O22" s="779" t="s">
        <v>359</v>
      </c>
      <c r="P22" s="783">
        <v>52.5</v>
      </c>
      <c r="Q22" s="770">
        <v>323355.9</v>
      </c>
      <c r="R22" s="770">
        <v>43114.12</v>
      </c>
      <c r="S22" s="770">
        <v>189.09701754385964</v>
      </c>
      <c r="T22" s="775">
        <v>9.454850877192982</v>
      </c>
      <c r="U22" s="465"/>
    </row>
    <row r="23" spans="1:21" ht="12.75">
      <c r="A23" s="792"/>
      <c r="B23" s="794"/>
      <c r="C23" s="788"/>
      <c r="D23" s="788"/>
      <c r="E23" s="771"/>
      <c r="F23" s="771"/>
      <c r="G23" s="771"/>
      <c r="H23" s="807"/>
      <c r="I23" s="812"/>
      <c r="J23" s="772"/>
      <c r="K23" s="465"/>
      <c r="L23" s="774"/>
      <c r="M23" s="784"/>
      <c r="N23" s="784"/>
      <c r="O23" s="780"/>
      <c r="P23" s="784"/>
      <c r="Q23" s="771"/>
      <c r="R23" s="771"/>
      <c r="S23" s="771"/>
      <c r="T23" s="776"/>
      <c r="U23" s="465"/>
    </row>
    <row r="24" spans="1:21" ht="12.75">
      <c r="A24" s="472"/>
      <c r="B24" s="472"/>
      <c r="C24" s="529"/>
      <c r="D24" s="529"/>
      <c r="E24" s="473"/>
      <c r="F24" s="473"/>
      <c r="G24" s="473"/>
      <c r="H24" s="526"/>
      <c r="I24" s="474"/>
      <c r="J24" s="475"/>
      <c r="K24" s="476"/>
      <c r="L24" s="477"/>
      <c r="M24" s="478"/>
      <c r="N24" s="478"/>
      <c r="O24" s="479"/>
      <c r="P24" s="819">
        <v>47</v>
      </c>
      <c r="Q24" s="480"/>
      <c r="R24" s="480"/>
      <c r="S24" s="480"/>
      <c r="T24" s="481"/>
      <c r="U24" s="476"/>
    </row>
    <row r="25" spans="1:21" ht="25.5">
      <c r="A25" s="482" t="s">
        <v>398</v>
      </c>
      <c r="B25" s="483"/>
      <c r="C25" s="530"/>
      <c r="D25" s="530"/>
      <c r="E25" s="484"/>
      <c r="F25" s="484">
        <v>19054</v>
      </c>
      <c r="G25" s="484"/>
      <c r="H25" s="527"/>
      <c r="I25" s="485"/>
      <c r="J25" s="486"/>
      <c r="K25" s="487"/>
      <c r="L25" s="488">
        <v>0</v>
      </c>
      <c r="M25" s="489">
        <v>2</v>
      </c>
      <c r="N25" s="489">
        <v>45</v>
      </c>
      <c r="O25" s="490" t="s">
        <v>399</v>
      </c>
      <c r="P25" s="820"/>
      <c r="Q25" s="491">
        <v>895538</v>
      </c>
      <c r="R25" s="491">
        <v>119405.06666666667</v>
      </c>
      <c r="S25" s="491">
        <v>523.706432748538</v>
      </c>
      <c r="T25" s="555">
        <v>26.1853216374269</v>
      </c>
      <c r="U25" s="575" t="s">
        <v>412</v>
      </c>
    </row>
    <row r="26" spans="1:21" ht="15.75">
      <c r="A26" s="492" t="s">
        <v>403</v>
      </c>
      <c r="B26" s="492"/>
      <c r="C26" s="531"/>
      <c r="D26" s="532"/>
      <c r="E26" s="493"/>
      <c r="F26" s="493">
        <v>38497</v>
      </c>
      <c r="G26" s="493"/>
      <c r="H26" s="528"/>
      <c r="I26" s="465"/>
      <c r="J26" s="494">
        <v>65460.90773364318</v>
      </c>
      <c r="K26" s="465" t="s">
        <v>319</v>
      </c>
      <c r="L26" s="465"/>
      <c r="M26" s="783">
        <v>0.5</v>
      </c>
      <c r="N26" s="493">
        <v>1</v>
      </c>
      <c r="O26" s="493" t="s">
        <v>401</v>
      </c>
      <c r="P26" s="495">
        <v>1.5</v>
      </c>
      <c r="Q26" s="496">
        <v>57745.5</v>
      </c>
      <c r="R26" s="496">
        <v>7699.4</v>
      </c>
      <c r="S26" s="496">
        <v>26.734027777777776</v>
      </c>
      <c r="T26" s="554">
        <v>1.3367013888888888</v>
      </c>
      <c r="U26" s="465"/>
    </row>
    <row r="27" spans="1:21" ht="13.5" thickBot="1">
      <c r="A27" s="492"/>
      <c r="B27" s="492"/>
      <c r="C27" s="531"/>
      <c r="D27" s="532"/>
      <c r="E27" s="493"/>
      <c r="F27" s="493"/>
      <c r="G27" s="493"/>
      <c r="H27" s="528"/>
      <c r="I27" s="465"/>
      <c r="J27" s="465"/>
      <c r="K27" s="465"/>
      <c r="L27" s="465"/>
      <c r="M27" s="784"/>
      <c r="N27" s="493"/>
      <c r="O27" s="493"/>
      <c r="P27" s="493"/>
      <c r="Q27" s="537">
        <v>1964231.4602</v>
      </c>
      <c r="R27" s="537"/>
      <c r="S27" s="537">
        <v>1148.6733685380118</v>
      </c>
      <c r="T27" s="537">
        <v>57.43366842690059</v>
      </c>
      <c r="U27" s="465"/>
    </row>
    <row r="28" spans="1:21" ht="51">
      <c r="A28" s="497"/>
      <c r="B28" s="497"/>
      <c r="C28" s="498"/>
      <c r="D28" s="499"/>
      <c r="E28" s="499"/>
      <c r="F28" s="499"/>
      <c r="G28" s="499"/>
      <c r="H28" s="500"/>
      <c r="I28" s="465"/>
      <c r="J28" s="465"/>
      <c r="K28" s="465"/>
      <c r="L28" s="465"/>
      <c r="M28" s="499"/>
      <c r="N28" s="499"/>
      <c r="O28" s="562"/>
      <c r="P28" s="563"/>
      <c r="Q28" s="564" t="s">
        <v>410</v>
      </c>
      <c r="R28" s="565"/>
      <c r="S28" s="566" t="s">
        <v>411</v>
      </c>
      <c r="T28" s="567"/>
      <c r="U28" s="568"/>
    </row>
    <row r="29" spans="1:21" ht="25.5">
      <c r="A29" s="465"/>
      <c r="B29" s="465"/>
      <c r="C29" s="465"/>
      <c r="D29" s="465"/>
      <c r="E29" s="465"/>
      <c r="F29" s="465"/>
      <c r="G29" s="465"/>
      <c r="H29" s="465"/>
      <c r="I29" s="465"/>
      <c r="J29" s="465"/>
      <c r="K29" s="465"/>
      <c r="L29" s="465"/>
      <c r="M29" s="465"/>
      <c r="N29" s="465"/>
      <c r="O29" s="569" t="s">
        <v>361</v>
      </c>
      <c r="P29" s="570"/>
      <c r="Q29" s="571">
        <v>261897.52802666667</v>
      </c>
      <c r="R29" s="539"/>
      <c r="S29" s="543"/>
      <c r="T29" s="545"/>
      <c r="U29" s="540"/>
    </row>
    <row r="30" spans="1:21" ht="26.25" customHeight="1">
      <c r="A30" s="501" t="s">
        <v>316</v>
      </c>
      <c r="B30" s="465"/>
      <c r="C30" s="502">
        <v>19054</v>
      </c>
      <c r="D30" s="502"/>
      <c r="E30" s="502"/>
      <c r="F30" s="465"/>
      <c r="G30" s="465"/>
      <c r="H30" s="465"/>
      <c r="I30" s="465"/>
      <c r="J30" s="465"/>
      <c r="K30" s="465"/>
      <c r="L30" s="465"/>
      <c r="M30" s="465"/>
      <c r="N30" s="465"/>
      <c r="O30" s="572" t="s">
        <v>360</v>
      </c>
      <c r="P30" s="573"/>
      <c r="Q30" s="574">
        <v>1148.6733685380118</v>
      </c>
      <c r="R30" s="539"/>
      <c r="S30" s="543"/>
      <c r="T30" s="545"/>
      <c r="U30" s="540"/>
    </row>
    <row r="31" spans="1:21" ht="51">
      <c r="A31" s="465" t="s">
        <v>293</v>
      </c>
      <c r="B31" s="465"/>
      <c r="C31" s="502">
        <v>19054</v>
      </c>
      <c r="D31" s="502"/>
      <c r="E31" s="502"/>
      <c r="F31" s="465"/>
      <c r="G31" s="465"/>
      <c r="H31" s="465"/>
      <c r="I31" s="465"/>
      <c r="J31" s="465"/>
      <c r="K31" s="465"/>
      <c r="L31" s="465"/>
      <c r="M31" s="465"/>
      <c r="N31" s="465"/>
      <c r="O31" s="558" t="s">
        <v>395</v>
      </c>
      <c r="P31" s="559"/>
      <c r="Q31" s="560">
        <v>57.43366842690059</v>
      </c>
      <c r="R31" s="539"/>
      <c r="S31" s="543"/>
      <c r="T31" s="545"/>
      <c r="U31" s="540"/>
    </row>
    <row r="32" spans="1:21" ht="12.75">
      <c r="A32" s="465"/>
      <c r="B32" s="465"/>
      <c r="C32" s="465"/>
      <c r="D32" s="465"/>
      <c r="E32" s="465"/>
      <c r="F32" s="465"/>
      <c r="G32" s="465"/>
      <c r="H32" s="465"/>
      <c r="I32" s="465"/>
      <c r="J32" s="465"/>
      <c r="K32" s="465"/>
      <c r="L32" s="465"/>
      <c r="M32" s="465"/>
      <c r="N32" s="465"/>
      <c r="O32" s="552"/>
      <c r="P32" s="540"/>
      <c r="Q32" s="541"/>
      <c r="R32" s="539"/>
      <c r="S32" s="543"/>
      <c r="T32" s="545"/>
      <c r="U32" s="540"/>
    </row>
    <row r="33" spans="1:21" ht="51">
      <c r="A33" s="465" t="s">
        <v>318</v>
      </c>
      <c r="B33" s="465"/>
      <c r="C33" s="465"/>
      <c r="D33" s="465"/>
      <c r="E33" s="465"/>
      <c r="F33" s="465"/>
      <c r="G33" s="465"/>
      <c r="H33" s="465"/>
      <c r="I33" s="465"/>
      <c r="J33" s="465"/>
      <c r="K33" s="465"/>
      <c r="L33" s="465"/>
      <c r="M33" s="465"/>
      <c r="N33" s="465"/>
      <c r="O33" s="556" t="s">
        <v>396</v>
      </c>
      <c r="P33" s="557"/>
      <c r="Q33" s="561">
        <v>11.486733685380118</v>
      </c>
      <c r="R33" s="539"/>
      <c r="S33" s="543"/>
      <c r="T33" s="545"/>
      <c r="U33" s="540"/>
    </row>
    <row r="34" spans="1:21" ht="25.5">
      <c r="A34" s="465" t="s">
        <v>305</v>
      </c>
      <c r="B34" s="465"/>
      <c r="C34" s="501" t="s">
        <v>312</v>
      </c>
      <c r="D34" s="465" t="s">
        <v>308</v>
      </c>
      <c r="E34" s="465"/>
      <c r="F34" s="465"/>
      <c r="G34" s="465"/>
      <c r="H34" s="465"/>
      <c r="I34" s="465"/>
      <c r="J34" s="465"/>
      <c r="K34" s="465"/>
      <c r="L34" s="465"/>
      <c r="M34" s="465"/>
      <c r="N34" s="465"/>
      <c r="O34" s="552" t="s">
        <v>402</v>
      </c>
      <c r="P34" s="540"/>
      <c r="Q34" s="542">
        <v>1</v>
      </c>
      <c r="R34" s="538"/>
      <c r="S34" s="544"/>
      <c r="T34" s="24"/>
      <c r="U34" s="17"/>
    </row>
    <row r="35" spans="1:21" ht="26.25" thickBot="1">
      <c r="A35" s="465" t="s">
        <v>302</v>
      </c>
      <c r="B35" s="503">
        <v>0</v>
      </c>
      <c r="C35" s="504">
        <v>0</v>
      </c>
      <c r="D35" s="465">
        <v>0</v>
      </c>
      <c r="E35" s="469"/>
      <c r="F35" s="465"/>
      <c r="G35" s="465"/>
      <c r="H35" s="465"/>
      <c r="I35" s="465"/>
      <c r="J35" s="465"/>
      <c r="K35" s="465"/>
      <c r="L35" s="465"/>
      <c r="M35" s="465"/>
      <c r="N35" s="465"/>
      <c r="O35" s="553" t="s">
        <v>397</v>
      </c>
      <c r="P35" s="546"/>
      <c r="Q35" s="547">
        <v>69.92040211228071</v>
      </c>
      <c r="R35" s="548"/>
      <c r="S35" s="549">
        <v>26.1853216374269</v>
      </c>
      <c r="T35" s="550" t="s">
        <v>400</v>
      </c>
      <c r="U35" s="551">
        <v>96.10572374970761</v>
      </c>
    </row>
    <row r="36" spans="1:21" ht="13.5" thickTop="1">
      <c r="A36" s="465" t="s">
        <v>303</v>
      </c>
      <c r="B36" s="503">
        <v>0.38</v>
      </c>
      <c r="C36" s="504">
        <v>0.7450980392156863</v>
      </c>
      <c r="D36" s="465">
        <v>0.074</v>
      </c>
      <c r="E36" s="465"/>
      <c r="F36" s="465"/>
      <c r="G36" s="465"/>
      <c r="H36" s="465"/>
      <c r="I36" s="465"/>
      <c r="J36" s="465"/>
      <c r="K36" s="465"/>
      <c r="L36" s="465"/>
      <c r="M36" s="465"/>
      <c r="N36" s="465"/>
      <c r="O36" s="465"/>
      <c r="P36" s="465"/>
      <c r="Q36" s="465"/>
      <c r="R36" s="465"/>
      <c r="S36" s="465"/>
      <c r="T36" s="465"/>
      <c r="U36" s="465"/>
    </row>
    <row r="37" spans="1:21" ht="12.75">
      <c r="A37" s="465" t="s">
        <v>304</v>
      </c>
      <c r="B37" s="503">
        <v>0.13</v>
      </c>
      <c r="C37" s="504">
        <v>0.2549019607843137</v>
      </c>
      <c r="D37" s="465">
        <v>0.068</v>
      </c>
      <c r="E37" s="465"/>
      <c r="F37" s="465"/>
      <c r="G37" s="465"/>
      <c r="H37" s="465"/>
      <c r="I37" s="465"/>
      <c r="J37" s="465"/>
      <c r="K37" s="465"/>
      <c r="L37" s="465"/>
      <c r="M37" s="465"/>
      <c r="N37" s="465"/>
      <c r="O37" s="465"/>
      <c r="P37" s="465"/>
      <c r="Q37" s="465"/>
      <c r="R37" s="465"/>
      <c r="S37" s="465"/>
      <c r="T37" s="465"/>
      <c r="U37" s="465"/>
    </row>
    <row r="38" spans="1:21" ht="12.75">
      <c r="A38" s="465" t="s">
        <v>307</v>
      </c>
      <c r="B38" s="503">
        <v>0.51</v>
      </c>
      <c r="C38" s="465"/>
      <c r="D38" s="465"/>
      <c r="E38" s="465"/>
      <c r="F38" s="465"/>
      <c r="G38" s="465"/>
      <c r="H38" s="465"/>
      <c r="I38" s="465"/>
      <c r="J38" s="465"/>
      <c r="K38" s="465"/>
      <c r="L38" s="465"/>
      <c r="M38" s="465"/>
      <c r="N38" s="465"/>
      <c r="O38" s="465"/>
      <c r="P38" s="465"/>
      <c r="Q38" s="465"/>
      <c r="R38" s="465"/>
      <c r="S38" s="465"/>
      <c r="T38" s="465"/>
      <c r="U38" s="465"/>
    </row>
    <row r="39" spans="1:21" ht="12.75">
      <c r="A39" s="465"/>
      <c r="B39" s="465"/>
      <c r="C39" s="465"/>
      <c r="D39" s="465"/>
      <c r="E39" s="465"/>
      <c r="F39" s="465"/>
      <c r="G39" s="465"/>
      <c r="H39" s="465"/>
      <c r="I39" s="465"/>
      <c r="J39" s="465"/>
      <c r="K39" s="465"/>
      <c r="L39" s="465"/>
      <c r="M39" s="465"/>
      <c r="N39" s="465"/>
      <c r="O39" s="465"/>
      <c r="P39" s="465"/>
      <c r="Q39" s="465"/>
      <c r="R39" s="465"/>
      <c r="S39" s="465"/>
      <c r="T39" s="465"/>
      <c r="U39" s="465"/>
    </row>
    <row r="40" spans="1:21" ht="25.5">
      <c r="A40" s="465" t="s">
        <v>306</v>
      </c>
      <c r="B40" s="465"/>
      <c r="C40" s="501" t="s">
        <v>312</v>
      </c>
      <c r="D40" s="465" t="s">
        <v>308</v>
      </c>
      <c r="E40" s="465"/>
      <c r="F40" s="465"/>
      <c r="G40" s="465"/>
      <c r="H40" s="465"/>
      <c r="I40" s="465"/>
      <c r="J40" s="465"/>
      <c r="K40" s="465"/>
      <c r="L40" s="465"/>
      <c r="M40" s="465"/>
      <c r="N40" s="465"/>
      <c r="O40" s="465"/>
      <c r="P40" s="465"/>
      <c r="Q40" s="465"/>
      <c r="R40" s="465"/>
      <c r="S40" s="465"/>
      <c r="T40" s="465"/>
      <c r="U40" s="465"/>
    </row>
    <row r="41" spans="1:21" ht="12.75">
      <c r="A41" s="465" t="s">
        <v>300</v>
      </c>
      <c r="B41" s="503">
        <v>0</v>
      </c>
      <c r="C41" s="504">
        <v>0</v>
      </c>
      <c r="D41" s="465">
        <v>0</v>
      </c>
      <c r="E41" s="469"/>
      <c r="F41" s="465"/>
      <c r="G41" s="465"/>
      <c r="H41" s="465"/>
      <c r="I41" s="465"/>
      <c r="J41" s="465"/>
      <c r="K41" s="465"/>
      <c r="L41" s="465"/>
      <c r="M41" s="465"/>
      <c r="N41" s="465"/>
      <c r="O41" s="465"/>
      <c r="P41" s="465"/>
      <c r="Q41" s="465"/>
      <c r="R41" s="465"/>
      <c r="S41" s="465"/>
      <c r="T41" s="465"/>
      <c r="U41" s="465"/>
    </row>
    <row r="42" spans="1:21" ht="12.75">
      <c r="A42" s="465" t="s">
        <v>303</v>
      </c>
      <c r="B42" s="503">
        <v>0.34</v>
      </c>
      <c r="C42" s="504">
        <v>0.723404255319149</v>
      </c>
      <c r="D42" s="465">
        <v>0.074</v>
      </c>
      <c r="E42" s="465"/>
      <c r="F42" s="465"/>
      <c r="G42" s="465"/>
      <c r="H42" s="465"/>
      <c r="I42" s="465"/>
      <c r="J42" s="465"/>
      <c r="K42" s="465"/>
      <c r="L42" s="465"/>
      <c r="M42" s="465"/>
      <c r="N42" s="465"/>
      <c r="O42" s="465"/>
      <c r="P42" s="465"/>
      <c r="Q42" s="465"/>
      <c r="R42" s="465"/>
      <c r="S42" s="465"/>
      <c r="T42" s="465"/>
      <c r="U42" s="465"/>
    </row>
    <row r="43" spans="1:21" ht="12.75">
      <c r="A43" s="465" t="s">
        <v>301</v>
      </c>
      <c r="B43" s="503">
        <v>0.13</v>
      </c>
      <c r="C43" s="504">
        <v>0.2765957446808511</v>
      </c>
      <c r="D43" s="465">
        <v>0.068</v>
      </c>
      <c r="E43" s="465"/>
      <c r="F43" s="465"/>
      <c r="G43" s="465"/>
      <c r="H43" s="465"/>
      <c r="I43" s="465"/>
      <c r="J43" s="465"/>
      <c r="K43" s="465"/>
      <c r="L43" s="465"/>
      <c r="M43" s="465"/>
      <c r="N43" s="465"/>
      <c r="O43" s="465"/>
      <c r="P43" s="465"/>
      <c r="Q43" s="465"/>
      <c r="R43" s="465"/>
      <c r="S43" s="465"/>
      <c r="T43" s="465"/>
      <c r="U43" s="465"/>
    </row>
    <row r="44" spans="1:21" ht="12.75">
      <c r="A44" s="465" t="s">
        <v>307</v>
      </c>
      <c r="B44" s="503">
        <v>0.47</v>
      </c>
      <c r="C44" s="465"/>
      <c r="D44" s="465"/>
      <c r="E44" s="465"/>
      <c r="F44" s="465"/>
      <c r="G44" s="465"/>
      <c r="H44" s="465"/>
      <c r="I44" s="465"/>
      <c r="J44" s="465"/>
      <c r="K44" s="465"/>
      <c r="L44" s="465"/>
      <c r="M44" s="465"/>
      <c r="N44" s="465"/>
      <c r="O44" s="465"/>
      <c r="P44" s="465"/>
      <c r="Q44" s="465"/>
      <c r="R44" s="465"/>
      <c r="S44" s="465"/>
      <c r="T44" s="465"/>
      <c r="U44" s="465"/>
    </row>
    <row r="45" spans="1:21" ht="18" customHeight="1">
      <c r="A45" s="465"/>
      <c r="B45" s="465"/>
      <c r="C45" s="465"/>
      <c r="D45" s="465"/>
      <c r="E45" s="465"/>
      <c r="F45" s="465"/>
      <c r="G45" s="465"/>
      <c r="H45" s="465"/>
      <c r="I45" s="465"/>
      <c r="J45" s="465"/>
      <c r="K45" s="465"/>
      <c r="L45" s="465"/>
      <c r="M45" s="465"/>
      <c r="N45" s="465"/>
      <c r="O45" s="465"/>
      <c r="P45" s="465"/>
      <c r="Q45" s="465"/>
      <c r="R45" s="465"/>
      <c r="S45" s="465"/>
      <c r="T45" s="465"/>
      <c r="U45" s="465"/>
    </row>
    <row r="46" spans="1:21" ht="12.75">
      <c r="A46" s="471"/>
      <c r="B46" s="471"/>
      <c r="C46" s="471"/>
      <c r="D46" s="471"/>
      <c r="E46" s="471"/>
      <c r="F46" s="471"/>
      <c r="G46" s="471"/>
      <c r="H46" s="465"/>
      <c r="I46" s="465"/>
      <c r="J46" s="465"/>
      <c r="K46" s="465"/>
      <c r="L46" s="465"/>
      <c r="M46" s="471"/>
      <c r="N46" s="471"/>
      <c r="O46" s="471"/>
      <c r="P46" s="471"/>
      <c r="Q46" s="471"/>
      <c r="R46" s="471"/>
      <c r="S46" s="471"/>
      <c r="T46" s="471"/>
      <c r="U46" s="465"/>
    </row>
    <row r="48" spans="2:11" ht="12.75">
      <c r="B48" s="525" t="s">
        <v>404</v>
      </c>
      <c r="C48" s="505"/>
      <c r="D48" s="514"/>
      <c r="E48" s="514"/>
      <c r="F48" s="514"/>
      <c r="G48" s="514"/>
      <c r="H48" s="514"/>
      <c r="I48" s="505"/>
      <c r="J48" s="505"/>
      <c r="K48" s="505"/>
    </row>
    <row r="49" spans="2:11" ht="12.75" customHeight="1">
      <c r="B49" s="734" t="s">
        <v>286</v>
      </c>
      <c r="C49" s="734" t="s">
        <v>369</v>
      </c>
      <c r="D49" s="735" t="s">
        <v>370</v>
      </c>
      <c r="E49" s="735" t="s">
        <v>313</v>
      </c>
      <c r="F49" s="735" t="s">
        <v>310</v>
      </c>
      <c r="G49" s="735" t="s">
        <v>298</v>
      </c>
      <c r="H49" s="737" t="s">
        <v>299</v>
      </c>
      <c r="I49" s="737" t="s">
        <v>296</v>
      </c>
      <c r="J49" s="737" t="s">
        <v>409</v>
      </c>
      <c r="K49" s="505"/>
    </row>
    <row r="50" spans="2:11" ht="53.25" customHeight="1">
      <c r="B50" s="734"/>
      <c r="C50" s="734"/>
      <c r="D50" s="736"/>
      <c r="E50" s="736"/>
      <c r="F50" s="736"/>
      <c r="G50" s="736"/>
      <c r="H50" s="734"/>
      <c r="I50" s="734"/>
      <c r="J50" s="734"/>
      <c r="K50" s="505"/>
    </row>
    <row r="51" spans="2:11" ht="12.75">
      <c r="B51" s="738" t="s">
        <v>287</v>
      </c>
      <c r="C51" s="738">
        <v>941</v>
      </c>
      <c r="D51" s="739">
        <v>56.15405336491914</v>
      </c>
      <c r="E51" s="739">
        <v>25.2</v>
      </c>
      <c r="F51" s="739">
        <v>44.13785263157894</v>
      </c>
      <c r="G51" s="739">
        <v>10394.19</v>
      </c>
      <c r="H51" s="739">
        <v>458.77722644463154</v>
      </c>
      <c r="I51" s="740">
        <v>0.5709385141670976</v>
      </c>
      <c r="J51" s="769">
        <v>5249.19</v>
      </c>
      <c r="K51" s="505"/>
    </row>
    <row r="52" spans="2:11" ht="12.75">
      <c r="B52" s="738"/>
      <c r="C52" s="738"/>
      <c r="D52" s="739"/>
      <c r="E52" s="739"/>
      <c r="F52" s="739"/>
      <c r="G52" s="739"/>
      <c r="H52" s="739"/>
      <c r="I52" s="740"/>
      <c r="J52" s="760"/>
      <c r="K52" s="505"/>
    </row>
    <row r="53" spans="2:11" ht="12.75">
      <c r="B53" s="738" t="s">
        <v>288</v>
      </c>
      <c r="C53" s="738">
        <v>4217</v>
      </c>
      <c r="D53" s="739">
        <v>240.48714600976322</v>
      </c>
      <c r="E53" s="739">
        <v>568.4</v>
      </c>
      <c r="F53" s="739">
        <v>212.05485714285714</v>
      </c>
      <c r="G53" s="739">
        <v>19650</v>
      </c>
      <c r="H53" s="739">
        <v>4166.877942857143</v>
      </c>
      <c r="I53" s="740">
        <v>2.680438484920344</v>
      </c>
      <c r="J53" s="769">
        <v>10123</v>
      </c>
      <c r="K53" s="505"/>
    </row>
    <row r="54" spans="2:11" ht="12.75">
      <c r="B54" s="738"/>
      <c r="C54" s="738"/>
      <c r="D54" s="739"/>
      <c r="E54" s="739"/>
      <c r="F54" s="739">
        <v>0</v>
      </c>
      <c r="G54" s="739"/>
      <c r="H54" s="739"/>
      <c r="I54" s="740"/>
      <c r="J54" s="760"/>
      <c r="K54" s="505"/>
    </row>
    <row r="55" spans="2:11" ht="12.75">
      <c r="B55" s="738" t="s">
        <v>294</v>
      </c>
      <c r="C55" s="738">
        <v>3312</v>
      </c>
      <c r="D55" s="739">
        <v>188.8767909851401</v>
      </c>
      <c r="E55" s="739">
        <v>474.6</v>
      </c>
      <c r="F55" s="739">
        <v>166.5462857142857</v>
      </c>
      <c r="G55" s="739">
        <v>4747.3748</v>
      </c>
      <c r="H55" s="739">
        <v>790.6576398335998</v>
      </c>
      <c r="I55" s="740">
        <v>2.8496582674571806</v>
      </c>
      <c r="J55" s="769">
        <v>452.3747999999996</v>
      </c>
      <c r="K55" s="505"/>
    </row>
    <row r="56" spans="2:11" ht="12.75">
      <c r="B56" s="738"/>
      <c r="C56" s="738"/>
      <c r="D56" s="739"/>
      <c r="E56" s="739"/>
      <c r="F56" s="739">
        <v>0</v>
      </c>
      <c r="G56" s="739"/>
      <c r="H56" s="739"/>
      <c r="I56" s="740"/>
      <c r="J56" s="760"/>
      <c r="K56" s="505"/>
    </row>
    <row r="57" spans="2:11" ht="12.75">
      <c r="B57" s="741" t="s">
        <v>297</v>
      </c>
      <c r="C57" s="741">
        <v>2775</v>
      </c>
      <c r="D57" s="742">
        <v>158.25274606997698</v>
      </c>
      <c r="E57" s="742">
        <v>240.8</v>
      </c>
      <c r="F57" s="742">
        <v>139.54285714285714</v>
      </c>
      <c r="G57" s="742">
        <v>4747</v>
      </c>
      <c r="H57" s="742">
        <v>662.4099428571429</v>
      </c>
      <c r="I57" s="743">
        <v>1.7256347256347255</v>
      </c>
      <c r="J57" s="760"/>
      <c r="K57" s="505"/>
    </row>
    <row r="58" spans="2:11" ht="12.75">
      <c r="B58" s="741"/>
      <c r="C58" s="741"/>
      <c r="D58" s="742"/>
      <c r="E58" s="742"/>
      <c r="F58" s="742">
        <v>0</v>
      </c>
      <c r="G58" s="742"/>
      <c r="H58" s="742"/>
      <c r="I58" s="743"/>
      <c r="J58" s="760"/>
      <c r="K58" s="505"/>
    </row>
    <row r="59" spans="2:11" ht="12.75">
      <c r="B59" s="738" t="s">
        <v>289</v>
      </c>
      <c r="C59" s="738">
        <v>1457</v>
      </c>
      <c r="D59" s="739">
        <v>83.08982018881315</v>
      </c>
      <c r="E59" s="739">
        <v>250.6</v>
      </c>
      <c r="F59" s="739">
        <v>73.26628571428571</v>
      </c>
      <c r="G59" s="739">
        <v>3556</v>
      </c>
      <c r="H59" s="739">
        <v>260.534912</v>
      </c>
      <c r="I59" s="740">
        <v>3.420399950084233</v>
      </c>
      <c r="J59" s="769">
        <v>1651</v>
      </c>
      <c r="K59" s="505"/>
    </row>
    <row r="60" spans="2:11" ht="12.75">
      <c r="B60" s="738"/>
      <c r="C60" s="738"/>
      <c r="D60" s="739"/>
      <c r="E60" s="739"/>
      <c r="F60" s="739">
        <v>0</v>
      </c>
      <c r="G60" s="739"/>
      <c r="H60" s="739"/>
      <c r="I60" s="740"/>
      <c r="J60" s="760"/>
      <c r="K60" s="505"/>
    </row>
    <row r="61" spans="2:11" ht="12.75">
      <c r="B61" s="738" t="s">
        <v>290</v>
      </c>
      <c r="C61" s="738">
        <v>743</v>
      </c>
      <c r="D61" s="739">
        <v>42.37181633513258</v>
      </c>
      <c r="E61" s="739">
        <v>170.8</v>
      </c>
      <c r="F61" s="739">
        <v>37.36228571428571</v>
      </c>
      <c r="G61" s="739">
        <v>20403.41</v>
      </c>
      <c r="H61" s="739">
        <v>762.3180339657142</v>
      </c>
      <c r="I61" s="740">
        <v>4.571454790162731</v>
      </c>
      <c r="J61" s="769">
        <v>10304.41</v>
      </c>
      <c r="K61" s="505"/>
    </row>
    <row r="62" spans="2:11" ht="12.75">
      <c r="B62" s="738"/>
      <c r="C62" s="738"/>
      <c r="D62" s="739"/>
      <c r="E62" s="739"/>
      <c r="F62" s="739">
        <v>0</v>
      </c>
      <c r="G62" s="739"/>
      <c r="H62" s="739"/>
      <c r="I62" s="740"/>
      <c r="J62" s="760"/>
      <c r="K62" s="505"/>
    </row>
    <row r="63" spans="2:11" ht="12.75">
      <c r="B63" s="738" t="s">
        <v>291</v>
      </c>
      <c r="C63" s="738">
        <v>12085</v>
      </c>
      <c r="D63" s="739">
        <v>689.1835806326745</v>
      </c>
      <c r="E63" s="739">
        <v>4676</v>
      </c>
      <c r="F63" s="739">
        <v>607.7028571428572</v>
      </c>
      <c r="G63" s="739">
        <v>5228</v>
      </c>
      <c r="H63" s="739">
        <v>3177.0705371428576</v>
      </c>
      <c r="I63" s="740">
        <v>7.694549968029488</v>
      </c>
      <c r="J63" s="769">
        <v>2370</v>
      </c>
      <c r="K63" s="505"/>
    </row>
    <row r="64" spans="2:11" ht="12.75">
      <c r="B64" s="738"/>
      <c r="C64" s="738"/>
      <c r="D64" s="739"/>
      <c r="E64" s="739"/>
      <c r="F64" s="739">
        <v>0</v>
      </c>
      <c r="G64" s="739"/>
      <c r="H64" s="739"/>
      <c r="I64" s="740"/>
      <c r="J64" s="760"/>
      <c r="K64" s="505"/>
    </row>
    <row r="65" spans="2:11" ht="12.75">
      <c r="B65" s="738" t="s">
        <v>292</v>
      </c>
      <c r="C65" s="738">
        <v>1951</v>
      </c>
      <c r="D65" s="739">
        <v>94.0892213771738</v>
      </c>
      <c r="E65" s="739">
        <v>328.9</v>
      </c>
      <c r="F65" s="739">
        <v>152.95920536635708</v>
      </c>
      <c r="G65" s="739">
        <v>17670.123000000003</v>
      </c>
      <c r="H65" s="739">
        <v>2702.80797280579</v>
      </c>
      <c r="I65" s="740">
        <v>2.1502465262698114</v>
      </c>
      <c r="J65" s="769">
        <v>521.1230000000032</v>
      </c>
      <c r="K65" s="505"/>
    </row>
    <row r="66" spans="2:11" ht="12.75">
      <c r="B66" s="738"/>
      <c r="C66" s="738"/>
      <c r="D66" s="739"/>
      <c r="E66" s="739"/>
      <c r="F66" s="739"/>
      <c r="G66" s="739"/>
      <c r="H66" s="739"/>
      <c r="I66" s="740"/>
      <c r="J66" s="760"/>
      <c r="K66" s="505"/>
    </row>
    <row r="67" spans="2:11" ht="12.75">
      <c r="B67" s="744" t="s">
        <v>295</v>
      </c>
      <c r="C67" s="738">
        <v>458</v>
      </c>
      <c r="D67" s="739">
        <v>26.11883160362143</v>
      </c>
      <c r="E67" s="739">
        <v>354.2</v>
      </c>
      <c r="F67" s="739">
        <v>23.03085714285714</v>
      </c>
      <c r="G67" s="739">
        <v>6159.52</v>
      </c>
      <c r="H67" s="739">
        <v>141.85902518857142</v>
      </c>
      <c r="I67" s="740">
        <v>15.379366812227076</v>
      </c>
      <c r="J67" s="769">
        <v>3110.52</v>
      </c>
      <c r="K67" s="505"/>
    </row>
    <row r="68" spans="2:11" ht="12.75">
      <c r="B68" s="738"/>
      <c r="C68" s="738"/>
      <c r="D68" s="739"/>
      <c r="E68" s="739"/>
      <c r="F68" s="739"/>
      <c r="G68" s="739"/>
      <c r="H68" s="739"/>
      <c r="I68" s="740"/>
      <c r="J68" s="760"/>
      <c r="K68" s="505"/>
    </row>
    <row r="69" spans="2:11" ht="12.75">
      <c r="B69" s="515"/>
      <c r="C69" s="515"/>
      <c r="D69" s="516"/>
      <c r="E69" s="517"/>
      <c r="F69" s="517"/>
      <c r="G69" s="517"/>
      <c r="H69" s="517"/>
      <c r="I69" s="518"/>
      <c r="J69" s="505"/>
      <c r="K69" s="505"/>
    </row>
    <row r="70" spans="2:11" ht="12.75">
      <c r="B70" s="515"/>
      <c r="C70" s="515"/>
      <c r="D70" s="516"/>
      <c r="E70" s="517"/>
      <c r="F70" s="517"/>
      <c r="G70" s="517"/>
      <c r="H70" s="517"/>
      <c r="I70" s="518"/>
      <c r="J70" s="505"/>
      <c r="K70" s="505"/>
    </row>
    <row r="71" spans="2:11" ht="12.75">
      <c r="B71" s="515"/>
      <c r="C71" s="515"/>
      <c r="D71" s="516"/>
      <c r="E71" s="517"/>
      <c r="F71" s="517"/>
      <c r="G71" s="517"/>
      <c r="H71" s="517"/>
      <c r="I71" s="518"/>
      <c r="J71" s="505"/>
      <c r="K71" s="505"/>
    </row>
    <row r="72" spans="2:11" ht="12.75">
      <c r="B72" s="515" t="s">
        <v>371</v>
      </c>
      <c r="C72" s="515"/>
      <c r="D72" s="516"/>
      <c r="E72" s="517"/>
      <c r="F72" s="517"/>
      <c r="G72" s="517"/>
      <c r="H72" s="517"/>
      <c r="I72" s="518"/>
      <c r="J72" s="505"/>
      <c r="K72" s="505"/>
    </row>
    <row r="73" spans="2:11" ht="12.75">
      <c r="B73" s="745" t="s">
        <v>286</v>
      </c>
      <c r="C73" s="745" t="s">
        <v>369</v>
      </c>
      <c r="D73" s="747" t="s">
        <v>370</v>
      </c>
      <c r="E73" s="749" t="s">
        <v>313</v>
      </c>
      <c r="F73" s="749" t="s">
        <v>310</v>
      </c>
      <c r="G73" s="749" t="s">
        <v>298</v>
      </c>
      <c r="H73" s="751" t="s">
        <v>299</v>
      </c>
      <c r="I73" s="751" t="s">
        <v>296</v>
      </c>
      <c r="J73" s="505"/>
      <c r="K73" s="505"/>
    </row>
    <row r="74" spans="2:11" ht="46.5" customHeight="1">
      <c r="B74" s="746"/>
      <c r="C74" s="746"/>
      <c r="D74" s="748"/>
      <c r="E74" s="750"/>
      <c r="F74" s="750"/>
      <c r="G74" s="750"/>
      <c r="H74" s="746"/>
      <c r="I74" s="746"/>
      <c r="J74" s="505"/>
      <c r="K74" s="505"/>
    </row>
    <row r="75" spans="2:11" ht="12.75">
      <c r="B75" s="752" t="s">
        <v>372</v>
      </c>
      <c r="C75" s="752">
        <v>28.7</v>
      </c>
      <c r="D75" s="754">
        <v>2.61457</v>
      </c>
      <c r="E75" s="754">
        <v>3.38</v>
      </c>
      <c r="F75" s="756">
        <v>0.6314</v>
      </c>
      <c r="G75" s="756">
        <v>35802.21</v>
      </c>
      <c r="H75" s="754">
        <v>22.605515393999998</v>
      </c>
      <c r="I75" s="758">
        <v>5.35318340196389</v>
      </c>
      <c r="J75" s="505"/>
      <c r="K75" s="505"/>
    </row>
    <row r="76" spans="2:11" ht="12.75">
      <c r="B76" s="753"/>
      <c r="C76" s="753"/>
      <c r="D76" s="755"/>
      <c r="E76" s="755"/>
      <c r="F76" s="757"/>
      <c r="G76" s="757"/>
      <c r="H76" s="755"/>
      <c r="I76" s="759"/>
      <c r="J76" s="505"/>
      <c r="K76" s="505"/>
    </row>
    <row r="77" spans="2:11" ht="12.75">
      <c r="B77" s="752" t="s">
        <v>373</v>
      </c>
      <c r="C77" s="752">
        <v>50</v>
      </c>
      <c r="D77" s="754">
        <v>4.555</v>
      </c>
      <c r="E77" s="754">
        <v>26</v>
      </c>
      <c r="F77" s="756">
        <v>1.1</v>
      </c>
      <c r="G77" s="756">
        <v>35802.21</v>
      </c>
      <c r="H77" s="754">
        <v>39.382431</v>
      </c>
      <c r="I77" s="758">
        <v>23.63636363636364</v>
      </c>
      <c r="J77" s="505"/>
      <c r="K77" s="505"/>
    </row>
    <row r="78" spans="2:11" ht="12.75">
      <c r="B78" s="753"/>
      <c r="C78" s="753"/>
      <c r="D78" s="755"/>
      <c r="E78" s="755"/>
      <c r="F78" s="757"/>
      <c r="G78" s="757"/>
      <c r="H78" s="755"/>
      <c r="I78" s="759"/>
      <c r="J78" s="505"/>
      <c r="K78" s="505"/>
    </row>
    <row r="79" spans="2:11" ht="12.75">
      <c r="B79" s="752" t="s">
        <v>374</v>
      </c>
      <c r="C79" s="752">
        <v>102</v>
      </c>
      <c r="D79" s="754">
        <v>7.832813668142959</v>
      </c>
      <c r="E79" s="754">
        <v>167.7</v>
      </c>
      <c r="F79" s="761">
        <v>3.768202105263158</v>
      </c>
      <c r="G79" s="756">
        <v>30701</v>
      </c>
      <c r="H79" s="754">
        <v>115.6875728336842</v>
      </c>
      <c r="I79" s="758">
        <v>44.503982354282044</v>
      </c>
      <c r="J79" s="505"/>
      <c r="K79" s="505"/>
    </row>
    <row r="80" spans="2:11" ht="12.75">
      <c r="B80" s="753"/>
      <c r="C80" s="753"/>
      <c r="D80" s="755"/>
      <c r="E80" s="755"/>
      <c r="F80" s="762">
        <v>0</v>
      </c>
      <c r="G80" s="757"/>
      <c r="H80" s="755"/>
      <c r="I80" s="759"/>
      <c r="J80" s="505"/>
      <c r="K80" s="505"/>
    </row>
    <row r="81" spans="2:11" ht="12.75">
      <c r="B81" s="752" t="s">
        <v>375</v>
      </c>
      <c r="C81" s="752">
        <v>34</v>
      </c>
      <c r="D81" s="754">
        <v>3.0974</v>
      </c>
      <c r="E81" s="754">
        <v>33.8</v>
      </c>
      <c r="F81" s="756">
        <v>0.748</v>
      </c>
      <c r="G81" s="756">
        <v>30701</v>
      </c>
      <c r="H81" s="754">
        <v>22.964347999999998</v>
      </c>
      <c r="I81" s="758">
        <v>45.18716577540108</v>
      </c>
      <c r="J81" s="505"/>
      <c r="K81" s="505"/>
    </row>
    <row r="82" spans="2:11" ht="12.75">
      <c r="B82" s="753"/>
      <c r="C82" s="753"/>
      <c r="D82" s="755"/>
      <c r="E82" s="755"/>
      <c r="F82" s="757"/>
      <c r="G82" s="757"/>
      <c r="H82" s="755"/>
      <c r="I82" s="759"/>
      <c r="J82" s="505"/>
      <c r="K82" s="505"/>
    </row>
    <row r="83" spans="2:11" ht="12.75">
      <c r="B83" s="505"/>
      <c r="C83" s="505"/>
      <c r="D83" s="519"/>
      <c r="E83" s="514"/>
      <c r="F83" s="514"/>
      <c r="G83" s="514"/>
      <c r="H83" s="514"/>
      <c r="I83" s="505"/>
      <c r="J83" s="505"/>
      <c r="K83" s="505"/>
    </row>
    <row r="84" spans="2:11" ht="12.75">
      <c r="B84" s="505"/>
      <c r="C84" s="505"/>
      <c r="D84" s="505"/>
      <c r="E84" s="505"/>
      <c r="F84" s="505"/>
      <c r="G84" s="505"/>
      <c r="H84" s="505"/>
      <c r="I84" s="505"/>
      <c r="J84" s="505"/>
      <c r="K84" s="505"/>
    </row>
    <row r="85" spans="2:11" ht="12.75">
      <c r="B85" s="505"/>
      <c r="C85" s="505"/>
      <c r="D85" s="505"/>
      <c r="E85" s="505"/>
      <c r="F85" s="505"/>
      <c r="G85" s="505"/>
      <c r="H85" s="505"/>
      <c r="I85" s="505"/>
      <c r="J85" s="505"/>
      <c r="K85" s="505"/>
    </row>
    <row r="86" spans="2:11" ht="12.75">
      <c r="B86" s="505" t="s">
        <v>392</v>
      </c>
      <c r="C86" s="505"/>
      <c r="D86" s="520">
        <v>38497</v>
      </c>
      <c r="E86" s="520"/>
      <c r="F86" s="520"/>
      <c r="G86" s="505"/>
      <c r="H86" s="505"/>
      <c r="I86" s="505"/>
      <c r="J86" s="505"/>
      <c r="K86" s="505"/>
    </row>
    <row r="87" spans="2:11" ht="12.75">
      <c r="B87" s="505" t="s">
        <v>376</v>
      </c>
      <c r="C87" s="505"/>
      <c r="D87" s="520">
        <v>35562</v>
      </c>
      <c r="E87" s="520"/>
      <c r="F87" s="520"/>
      <c r="G87" s="505"/>
      <c r="H87" s="505"/>
      <c r="I87" s="505"/>
      <c r="J87" s="505"/>
      <c r="K87" s="505"/>
    </row>
    <row r="88" spans="2:11" ht="12.75">
      <c r="B88" s="505" t="s">
        <v>293</v>
      </c>
      <c r="C88" s="505"/>
      <c r="D88" s="520">
        <v>21062</v>
      </c>
      <c r="E88" s="520"/>
      <c r="F88" s="520"/>
      <c r="G88" s="505"/>
      <c r="H88" s="505"/>
      <c r="I88" s="505"/>
      <c r="J88" s="505"/>
      <c r="K88" s="505"/>
    </row>
    <row r="89" spans="2:11" ht="12.75">
      <c r="B89" s="505"/>
      <c r="C89" s="505"/>
      <c r="D89" s="520"/>
      <c r="E89" s="520"/>
      <c r="F89" s="520"/>
      <c r="G89" s="505"/>
      <c r="H89" s="505"/>
      <c r="I89" s="505"/>
      <c r="J89" s="505"/>
      <c r="K89" s="505"/>
    </row>
    <row r="90" spans="2:11" ht="12.75">
      <c r="B90" s="505"/>
      <c r="C90" s="505"/>
      <c r="D90" s="520"/>
      <c r="E90" s="520"/>
      <c r="F90" s="520"/>
      <c r="G90" s="505"/>
      <c r="H90" s="505"/>
      <c r="I90" s="505"/>
      <c r="J90" s="505"/>
      <c r="K90" s="505"/>
    </row>
    <row r="91" spans="2:11" ht="12.75">
      <c r="B91" s="505"/>
      <c r="C91" s="505"/>
      <c r="D91" s="505"/>
      <c r="E91" s="505"/>
      <c r="F91" s="505"/>
      <c r="G91" s="505"/>
      <c r="H91" s="505"/>
      <c r="I91" s="505"/>
      <c r="J91" s="505"/>
      <c r="K91" s="505"/>
    </row>
    <row r="92" spans="2:11" ht="12.75">
      <c r="B92" s="505" t="s">
        <v>377</v>
      </c>
      <c r="C92" s="505"/>
      <c r="D92" s="505"/>
      <c r="E92" s="505"/>
      <c r="F92" s="505"/>
      <c r="G92" s="505"/>
      <c r="H92" s="505"/>
      <c r="I92" s="505"/>
      <c r="J92" s="505"/>
      <c r="K92" s="505"/>
    </row>
    <row r="93" spans="2:11" ht="51">
      <c r="B93" s="505" t="s">
        <v>305</v>
      </c>
      <c r="C93" s="505"/>
      <c r="D93" s="521" t="s">
        <v>312</v>
      </c>
      <c r="E93" s="505" t="s">
        <v>308</v>
      </c>
      <c r="F93" s="505"/>
      <c r="G93" s="505"/>
      <c r="H93" s="505"/>
      <c r="I93" s="505"/>
      <c r="J93" s="505"/>
      <c r="K93" s="505"/>
    </row>
    <row r="94" spans="2:11" ht="12.75">
      <c r="B94" s="505" t="s">
        <v>302</v>
      </c>
      <c r="C94" s="522">
        <v>0.4</v>
      </c>
      <c r="D94" s="523">
        <v>0.43956043956043955</v>
      </c>
      <c r="E94" s="505">
        <v>0.022</v>
      </c>
      <c r="F94" s="505" t="s">
        <v>378</v>
      </c>
      <c r="G94" s="505"/>
      <c r="H94" s="505"/>
      <c r="I94" s="505"/>
      <c r="J94" s="505"/>
      <c r="K94" s="505"/>
    </row>
    <row r="95" spans="2:11" ht="12.75">
      <c r="B95" s="505" t="s">
        <v>303</v>
      </c>
      <c r="C95" s="522">
        <v>0.38</v>
      </c>
      <c r="D95" s="523">
        <v>0.4175824175824176</v>
      </c>
      <c r="E95" s="505">
        <v>0.074</v>
      </c>
      <c r="F95" s="505"/>
      <c r="G95" s="505"/>
      <c r="H95" s="505"/>
      <c r="I95" s="505"/>
      <c r="J95" s="505"/>
      <c r="K95" s="505"/>
    </row>
    <row r="96" spans="2:11" ht="12.75">
      <c r="B96" s="505" t="s">
        <v>304</v>
      </c>
      <c r="C96" s="522">
        <v>0.13</v>
      </c>
      <c r="D96" s="523">
        <v>0.14285714285714285</v>
      </c>
      <c r="E96" s="505">
        <v>0.068</v>
      </c>
      <c r="F96" s="505"/>
      <c r="G96" s="505"/>
      <c r="H96" s="505"/>
      <c r="I96" s="505"/>
      <c r="J96" s="505"/>
      <c r="K96" s="505"/>
    </row>
    <row r="97" spans="2:11" ht="12.75">
      <c r="B97" s="505" t="s">
        <v>307</v>
      </c>
      <c r="C97" s="522">
        <v>0.91</v>
      </c>
      <c r="D97" s="505"/>
      <c r="E97" s="505"/>
      <c r="F97" s="505"/>
      <c r="G97" s="505"/>
      <c r="H97" s="505"/>
      <c r="I97" s="505"/>
      <c r="J97" s="505"/>
      <c r="K97" s="505"/>
    </row>
    <row r="98" spans="2:11" ht="12.75">
      <c r="B98" s="505"/>
      <c r="C98" s="505"/>
      <c r="D98" s="505"/>
      <c r="E98" s="505"/>
      <c r="F98" s="505"/>
      <c r="G98" s="505"/>
      <c r="H98" s="505"/>
      <c r="I98" s="505"/>
      <c r="J98" s="505"/>
      <c r="K98" s="505"/>
    </row>
    <row r="99" spans="2:11" ht="51">
      <c r="B99" s="505" t="s">
        <v>306</v>
      </c>
      <c r="C99" s="505"/>
      <c r="D99" s="521" t="s">
        <v>312</v>
      </c>
      <c r="E99" s="505" t="s">
        <v>308</v>
      </c>
      <c r="F99" s="505"/>
      <c r="G99" s="505"/>
      <c r="H99" s="505"/>
      <c r="I99" s="505"/>
      <c r="J99" s="505"/>
      <c r="K99" s="505"/>
    </row>
    <row r="100" spans="2:11" ht="12.75">
      <c r="B100" s="505" t="s">
        <v>300</v>
      </c>
      <c r="C100" s="522">
        <v>0.48</v>
      </c>
      <c r="D100" s="523">
        <v>0.5052631578947367</v>
      </c>
      <c r="E100" s="505">
        <v>0.022</v>
      </c>
      <c r="F100" s="505"/>
      <c r="G100" s="505"/>
      <c r="H100" s="505"/>
      <c r="I100" s="505"/>
      <c r="J100" s="505"/>
      <c r="K100" s="505"/>
    </row>
    <row r="101" spans="2:11" ht="12.75">
      <c r="B101" s="505" t="s">
        <v>303</v>
      </c>
      <c r="C101" s="522">
        <v>0.34</v>
      </c>
      <c r="D101" s="523">
        <v>0.35789473684210527</v>
      </c>
      <c r="E101" s="505">
        <v>0.074</v>
      </c>
      <c r="F101" s="505"/>
      <c r="G101" s="505"/>
      <c r="H101" s="505"/>
      <c r="I101" s="505"/>
      <c r="J101" s="505"/>
      <c r="K101" s="505"/>
    </row>
    <row r="102" spans="2:11" ht="12.75">
      <c r="B102" s="505" t="s">
        <v>301</v>
      </c>
      <c r="C102" s="522">
        <v>0.13</v>
      </c>
      <c r="D102" s="523">
        <v>0.13684210526315788</v>
      </c>
      <c r="E102" s="505">
        <v>0.068</v>
      </c>
      <c r="F102" s="505"/>
      <c r="G102" s="505"/>
      <c r="H102" s="505"/>
      <c r="I102" s="505"/>
      <c r="J102" s="505"/>
      <c r="K102" s="505"/>
    </row>
    <row r="103" spans="2:11" ht="12.75">
      <c r="B103" s="505" t="s">
        <v>307</v>
      </c>
      <c r="C103" s="522">
        <v>0.95</v>
      </c>
      <c r="D103" s="505"/>
      <c r="E103" s="505"/>
      <c r="F103" s="505"/>
      <c r="G103" s="505"/>
      <c r="H103" s="505"/>
      <c r="I103" s="505"/>
      <c r="J103" s="505"/>
      <c r="K103" s="505"/>
    </row>
    <row r="104" spans="2:11" ht="12.75">
      <c r="B104" s="505"/>
      <c r="C104" s="505"/>
      <c r="D104" s="505"/>
      <c r="E104" s="505"/>
      <c r="F104" s="505"/>
      <c r="G104" s="505"/>
      <c r="H104" s="505"/>
      <c r="I104" s="505"/>
      <c r="J104" s="505"/>
      <c r="K104" s="505"/>
    </row>
    <row r="105" spans="2:11" ht="12.75">
      <c r="B105" s="505" t="s">
        <v>379</v>
      </c>
      <c r="C105" s="505" t="s">
        <v>380</v>
      </c>
      <c r="D105" s="505" t="s">
        <v>381</v>
      </c>
      <c r="E105" s="505"/>
      <c r="F105" s="505"/>
      <c r="G105" s="505"/>
      <c r="H105" s="505"/>
      <c r="I105" s="505"/>
      <c r="J105" s="505"/>
      <c r="K105" s="505"/>
    </row>
    <row r="106" spans="2:11" ht="12.75">
      <c r="B106" s="505" t="s">
        <v>382</v>
      </c>
      <c r="C106" s="505">
        <v>0.0911</v>
      </c>
      <c r="D106" s="505" t="s">
        <v>383</v>
      </c>
      <c r="E106" s="505"/>
      <c r="F106" s="505"/>
      <c r="G106" s="505"/>
      <c r="H106" s="505" t="s">
        <v>384</v>
      </c>
      <c r="I106" s="505" t="s">
        <v>384</v>
      </c>
      <c r="J106" s="505" t="s">
        <v>384</v>
      </c>
      <c r="K106" s="505"/>
    </row>
    <row r="107" spans="2:11" ht="12.75">
      <c r="B107" s="505" t="s">
        <v>385</v>
      </c>
      <c r="C107" s="505">
        <v>0.0761</v>
      </c>
      <c r="D107" s="505" t="s">
        <v>383</v>
      </c>
      <c r="E107" s="505"/>
      <c r="F107" s="505"/>
      <c r="G107" s="505"/>
      <c r="H107" s="505"/>
      <c r="I107" s="505"/>
      <c r="J107" s="505"/>
      <c r="K107" s="505"/>
    </row>
    <row r="108" spans="2:11" ht="12.75">
      <c r="B108" s="505" t="s">
        <v>386</v>
      </c>
      <c r="C108" s="524">
        <v>0.03230919765166341</v>
      </c>
      <c r="D108" s="505" t="s">
        <v>387</v>
      </c>
      <c r="E108" s="505"/>
      <c r="F108" s="505"/>
      <c r="G108" s="505"/>
      <c r="H108" s="505"/>
      <c r="I108" s="505"/>
      <c r="J108" s="505"/>
      <c r="K108" s="505"/>
    </row>
    <row r="109" spans="2:11" ht="12.75">
      <c r="B109" s="505" t="s">
        <v>388</v>
      </c>
      <c r="C109" s="505">
        <v>0.0706</v>
      </c>
      <c r="D109" s="505" t="s">
        <v>389</v>
      </c>
      <c r="E109" s="505"/>
      <c r="F109" s="505"/>
      <c r="G109" s="505"/>
      <c r="H109" s="505"/>
      <c r="I109" s="505"/>
      <c r="J109" s="505"/>
      <c r="K109" s="505"/>
    </row>
    <row r="110" spans="2:11" ht="12.75">
      <c r="B110" s="505" t="s">
        <v>390</v>
      </c>
      <c r="C110" s="524">
        <v>0.0796909090909091</v>
      </c>
      <c r="D110" s="505" t="s">
        <v>391</v>
      </c>
      <c r="E110" s="505"/>
      <c r="F110" s="505"/>
      <c r="G110" s="505"/>
      <c r="H110" s="505"/>
      <c r="I110" s="505"/>
      <c r="J110" s="505" t="s">
        <v>384</v>
      </c>
      <c r="K110" s="505" t="s">
        <v>384</v>
      </c>
    </row>
    <row r="111" spans="2:11" ht="12.75">
      <c r="B111" s="505"/>
      <c r="C111" s="505"/>
      <c r="D111" s="505"/>
      <c r="E111" s="505"/>
      <c r="F111" s="505"/>
      <c r="G111" s="505"/>
      <c r="H111" s="505"/>
      <c r="I111" s="505"/>
      <c r="J111" s="505" t="s">
        <v>384</v>
      </c>
      <c r="K111" s="505" t="s">
        <v>384</v>
      </c>
    </row>
    <row r="115" spans="2:9" ht="25.5">
      <c r="B115" s="507"/>
      <c r="C115" s="508" t="s">
        <v>321</v>
      </c>
      <c r="D115" s="508" t="s">
        <v>322</v>
      </c>
      <c r="E115" s="508" t="s">
        <v>323</v>
      </c>
      <c r="F115" s="506"/>
      <c r="G115" s="505"/>
      <c r="H115" s="505"/>
      <c r="I115" s="505"/>
    </row>
    <row r="116" spans="2:9" ht="12.75">
      <c r="B116" s="763" t="s">
        <v>324</v>
      </c>
      <c r="C116" s="764"/>
      <c r="D116" s="764"/>
      <c r="E116" s="765"/>
      <c r="F116" s="506"/>
      <c r="G116" s="505"/>
      <c r="H116" s="505"/>
      <c r="I116" s="505"/>
    </row>
    <row r="117" spans="2:9" ht="38.25">
      <c r="B117" s="513" t="s">
        <v>325</v>
      </c>
      <c r="C117" s="510">
        <v>4397.71322649412</v>
      </c>
      <c r="D117" s="511">
        <v>176.12313746521755</v>
      </c>
      <c r="E117" s="510">
        <v>1051.1853925288885</v>
      </c>
      <c r="F117" s="506"/>
      <c r="G117" s="505"/>
      <c r="H117" s="505"/>
      <c r="I117" s="505"/>
    </row>
    <row r="118" spans="2:9" ht="38.25">
      <c r="B118" s="513" t="s">
        <v>326</v>
      </c>
      <c r="C118" s="510">
        <v>1318.788388418745</v>
      </c>
      <c r="D118" s="511">
        <v>52.81589241010463</v>
      </c>
      <c r="E118" s="510">
        <v>315.2299884837326</v>
      </c>
      <c r="F118" s="506"/>
      <c r="G118" s="505"/>
      <c r="H118" s="505"/>
      <c r="I118" s="505"/>
    </row>
    <row r="119" spans="2:9" ht="38.25">
      <c r="B119" s="513" t="s">
        <v>327</v>
      </c>
      <c r="C119" s="510">
        <v>701.3747492899038</v>
      </c>
      <c r="D119" s="511">
        <v>28.089217059361502</v>
      </c>
      <c r="E119" s="510">
        <v>167.64960632276572</v>
      </c>
      <c r="F119" s="506"/>
      <c r="G119" s="505"/>
      <c r="H119" s="505"/>
      <c r="I119" s="512" t="s">
        <v>348</v>
      </c>
    </row>
    <row r="120" spans="2:9" ht="38.25">
      <c r="B120" s="513" t="s">
        <v>328</v>
      </c>
      <c r="C120" s="510">
        <v>474.16489488029947</v>
      </c>
      <c r="D120" s="511">
        <v>18.98973504208214</v>
      </c>
      <c r="E120" s="510">
        <v>113.33963482323799</v>
      </c>
      <c r="F120" s="506"/>
      <c r="G120" s="505"/>
      <c r="H120" s="505">
        <v>2430</v>
      </c>
      <c r="I120" s="505" t="s">
        <v>349</v>
      </c>
    </row>
    <row r="121" spans="2:9" ht="38.25">
      <c r="B121" s="513" t="s">
        <v>329</v>
      </c>
      <c r="C121" s="510">
        <v>4740.941002657218</v>
      </c>
      <c r="D121" s="511">
        <v>189.86899802721837</v>
      </c>
      <c r="E121" s="510">
        <v>1133.2271278651547</v>
      </c>
      <c r="F121" s="506"/>
      <c r="G121" s="505"/>
      <c r="H121" s="505">
        <v>1723</v>
      </c>
      <c r="I121" s="505" t="s">
        <v>350</v>
      </c>
    </row>
    <row r="122" spans="2:9" ht="51">
      <c r="B122" s="513" t="s">
        <v>330</v>
      </c>
      <c r="C122" s="510">
        <v>16031.688381967768</v>
      </c>
      <c r="D122" s="511">
        <v>642.0498816717509</v>
      </c>
      <c r="E122" s="510">
        <v>3832.054473941756</v>
      </c>
      <c r="F122" s="506"/>
      <c r="G122" s="505"/>
      <c r="H122" s="505">
        <v>1228</v>
      </c>
      <c r="I122" s="505" t="s">
        <v>351</v>
      </c>
    </row>
    <row r="123" spans="2:9" ht="38.25">
      <c r="B123" s="513" t="s">
        <v>331</v>
      </c>
      <c r="C123" s="510">
        <v>15178.859590444135</v>
      </c>
      <c r="D123" s="511">
        <v>607.8951119657792</v>
      </c>
      <c r="E123" s="510">
        <v>3628.202807903862</v>
      </c>
      <c r="F123" s="506"/>
      <c r="G123" s="505"/>
      <c r="H123" s="505">
        <v>15605</v>
      </c>
      <c r="I123" s="505" t="s">
        <v>352</v>
      </c>
    </row>
    <row r="124" spans="2:9" ht="25.5">
      <c r="B124" s="513" t="s">
        <v>290</v>
      </c>
      <c r="C124" s="510">
        <v>692.1061903535432</v>
      </c>
      <c r="D124" s="511">
        <v>27.71802239623098</v>
      </c>
      <c r="E124" s="510">
        <v>165.43414268020743</v>
      </c>
      <c r="F124" s="506"/>
      <c r="G124" s="505"/>
      <c r="H124" s="505"/>
      <c r="I124" s="505"/>
    </row>
    <row r="125" spans="2:9" ht="51">
      <c r="B125" s="513" t="s">
        <v>332</v>
      </c>
      <c r="C125" s="510">
        <v>3494.5931270011492</v>
      </c>
      <c r="D125" s="511">
        <v>139.95426122464366</v>
      </c>
      <c r="E125" s="510">
        <v>835.3125951470848</v>
      </c>
      <c r="F125" s="506"/>
      <c r="G125" s="505"/>
      <c r="H125" s="505"/>
      <c r="I125" s="505"/>
    </row>
    <row r="126" spans="2:9" ht="51">
      <c r="B126" s="513" t="s">
        <v>333</v>
      </c>
      <c r="C126" s="510">
        <v>150.8004713989003</v>
      </c>
      <c r="D126" s="511">
        <v>6.0393779189602785</v>
      </c>
      <c r="E126" s="510">
        <v>36.04583667847914</v>
      </c>
      <c r="F126" s="506"/>
      <c r="G126" s="505"/>
      <c r="H126" s="505"/>
      <c r="I126" s="505"/>
    </row>
    <row r="127" spans="2:9" ht="51">
      <c r="B127" s="513" t="s">
        <v>334</v>
      </c>
      <c r="C127" s="510">
        <v>3645.3935984000495</v>
      </c>
      <c r="D127" s="511">
        <v>145.99363914360393</v>
      </c>
      <c r="E127" s="510">
        <v>871.3584318255639</v>
      </c>
      <c r="F127" s="506"/>
      <c r="G127" s="505"/>
      <c r="H127" s="505"/>
      <c r="I127" s="505"/>
    </row>
    <row r="128" spans="2:9" ht="25.5">
      <c r="B128" s="513" t="s">
        <v>335</v>
      </c>
      <c r="C128" s="510">
        <v>2152.7053262220334</v>
      </c>
      <c r="D128" s="511">
        <v>86.21326506880098</v>
      </c>
      <c r="E128" s="510">
        <v>514.5611541268527</v>
      </c>
      <c r="F128" s="506"/>
      <c r="G128" s="505"/>
      <c r="H128" s="505"/>
      <c r="I128" s="505"/>
    </row>
    <row r="129" spans="2:9" ht="25.5">
      <c r="B129" s="513" t="s">
        <v>336</v>
      </c>
      <c r="C129" s="510">
        <v>1953.4431073269968</v>
      </c>
      <c r="D129" s="511">
        <v>78.23305231671743</v>
      </c>
      <c r="E129" s="510">
        <v>466.9315059443721</v>
      </c>
      <c r="F129" s="506"/>
      <c r="G129" s="505"/>
      <c r="H129" s="505"/>
      <c r="I129" s="505"/>
    </row>
    <row r="130" spans="2:9" ht="25.5">
      <c r="B130" s="513" t="s">
        <v>337</v>
      </c>
      <c r="C130" s="510">
        <v>888.3778009296684</v>
      </c>
      <c r="D130" s="511">
        <v>39.443974361277284</v>
      </c>
      <c r="E130" s="510">
        <v>212.34894575621865</v>
      </c>
      <c r="F130" s="506"/>
      <c r="G130" s="505"/>
      <c r="H130" s="505"/>
      <c r="I130" s="505"/>
    </row>
    <row r="131" spans="2:9" ht="25.5">
      <c r="B131" s="513" t="s">
        <v>338</v>
      </c>
      <c r="C131" s="510">
        <v>278.6585365853658</v>
      </c>
      <c r="D131" s="511">
        <v>12.372439024390244</v>
      </c>
      <c r="E131" s="510">
        <v>66.60775</v>
      </c>
      <c r="F131" s="506"/>
      <c r="G131" s="505"/>
      <c r="H131" s="505"/>
      <c r="I131" s="505"/>
    </row>
    <row r="132" spans="2:9" ht="51">
      <c r="B132" s="513" t="s">
        <v>339</v>
      </c>
      <c r="C132" s="510">
        <v>88.13453883159173</v>
      </c>
      <c r="D132" s="511">
        <v>3.5296825187586514</v>
      </c>
      <c r="E132" s="510">
        <v>21.06679881691537</v>
      </c>
      <c r="F132" s="506"/>
      <c r="G132" s="505"/>
      <c r="H132" s="505"/>
      <c r="I132" s="505"/>
    </row>
    <row r="133" spans="2:9" ht="38.25">
      <c r="B133" s="513" t="s">
        <v>340</v>
      </c>
      <c r="C133" s="510">
        <v>52.95637526361734</v>
      </c>
      <c r="D133" s="511">
        <v>2.1208392816575583</v>
      </c>
      <c r="E133" s="510">
        <v>12.658162379262453</v>
      </c>
      <c r="F133" s="506"/>
      <c r="G133" s="505"/>
      <c r="H133" s="505"/>
      <c r="I133" s="505"/>
    </row>
    <row r="134" spans="2:9" ht="38.25">
      <c r="B134" s="513" t="s">
        <v>341</v>
      </c>
      <c r="C134" s="510">
        <v>664.9771866137626</v>
      </c>
      <c r="D134" s="511">
        <v>26.631538351257255</v>
      </c>
      <c r="E134" s="510">
        <v>158.94949691628767</v>
      </c>
      <c r="F134" s="506"/>
      <c r="G134" s="505"/>
      <c r="H134" s="505"/>
      <c r="I134" s="505"/>
    </row>
    <row r="135" spans="2:9" ht="25.5">
      <c r="B135" s="513" t="s">
        <v>342</v>
      </c>
      <c r="C135" s="510">
        <v>453.5381525756934</v>
      </c>
      <c r="D135" s="511">
        <v>18.163658764873432</v>
      </c>
      <c r="E135" s="510">
        <v>108.409224610168</v>
      </c>
      <c r="F135" s="506"/>
      <c r="G135" s="505"/>
      <c r="H135" s="505"/>
      <c r="I135" s="505"/>
    </row>
    <row r="136" spans="2:9" ht="12.75">
      <c r="B136" s="766" t="s">
        <v>343</v>
      </c>
      <c r="C136" s="767"/>
      <c r="D136" s="767"/>
      <c r="E136" s="768"/>
      <c r="F136" s="506"/>
      <c r="G136" s="505"/>
      <c r="H136" s="505"/>
      <c r="I136" s="505"/>
    </row>
    <row r="137" spans="2:9" ht="118.5" customHeight="1">
      <c r="B137" s="513" t="s">
        <v>344</v>
      </c>
      <c r="C137" s="510">
        <v>8290.50583753466</v>
      </c>
      <c r="D137" s="511">
        <v>332.0248101862581</v>
      </c>
      <c r="E137" s="510">
        <v>1981.6796103459099</v>
      </c>
      <c r="F137" s="506"/>
      <c r="G137" s="505"/>
      <c r="H137" s="505"/>
      <c r="I137" s="505"/>
    </row>
    <row r="138" spans="2:9" ht="12.75">
      <c r="B138" s="509" t="s">
        <v>345</v>
      </c>
      <c r="C138" s="510">
        <v>2191.104281407747</v>
      </c>
      <c r="D138" s="511">
        <v>87.75109714524258</v>
      </c>
      <c r="E138" s="510">
        <v>523.7396563848938</v>
      </c>
      <c r="F138" s="506"/>
      <c r="G138" s="505"/>
      <c r="H138" s="505"/>
      <c r="I138" s="505"/>
    </row>
    <row r="139" spans="2:9" ht="12.75">
      <c r="B139" s="509" t="s">
        <v>346</v>
      </c>
      <c r="C139" s="510">
        <v>265.40685928436534</v>
      </c>
      <c r="D139" s="511">
        <v>10.629226226107692</v>
      </c>
      <c r="E139" s="510">
        <v>63.44020157474185</v>
      </c>
      <c r="F139" s="506"/>
      <c r="G139" s="505"/>
      <c r="H139" s="505"/>
      <c r="I139" s="505"/>
    </row>
    <row r="140" spans="2:9" ht="12.75">
      <c r="B140" s="509" t="s">
        <v>347</v>
      </c>
      <c r="C140" s="510">
        <v>386.38436389808703</v>
      </c>
      <c r="D140" s="511">
        <v>23.7379388278746</v>
      </c>
      <c r="E140" s="510">
        <v>127.79458373934382</v>
      </c>
      <c r="F140" s="506"/>
      <c r="G140" s="505"/>
      <c r="H140" s="505"/>
      <c r="I140" s="505"/>
    </row>
  </sheetData>
  <mergeCells count="324">
    <mergeCell ref="L22:L23"/>
    <mergeCell ref="P24:P25"/>
    <mergeCell ref="M26:M27"/>
    <mergeCell ref="J49:J50"/>
    <mergeCell ref="L12:L13"/>
    <mergeCell ref="L14:L15"/>
    <mergeCell ref="L16:L17"/>
    <mergeCell ref="L18:L19"/>
    <mergeCell ref="L4:L5"/>
    <mergeCell ref="L6:L7"/>
    <mergeCell ref="L8:L9"/>
    <mergeCell ref="L10:L11"/>
    <mergeCell ref="P10:P11"/>
    <mergeCell ref="P20:P21"/>
    <mergeCell ref="P22:P23"/>
    <mergeCell ref="M20:M21"/>
    <mergeCell ref="M22:M23"/>
    <mergeCell ref="P12:P13"/>
    <mergeCell ref="P14:P15"/>
    <mergeCell ref="P16:P17"/>
    <mergeCell ref="P18:P19"/>
    <mergeCell ref="M12:M13"/>
    <mergeCell ref="M14:M15"/>
    <mergeCell ref="M16:M17"/>
    <mergeCell ref="M18:M19"/>
    <mergeCell ref="M4:M5"/>
    <mergeCell ref="M6:M7"/>
    <mergeCell ref="M8:M9"/>
    <mergeCell ref="M10:M11"/>
    <mergeCell ref="I22:I23"/>
    <mergeCell ref="I4:I5"/>
    <mergeCell ref="J4:J5"/>
    <mergeCell ref="J6:J7"/>
    <mergeCell ref="J8:J9"/>
    <mergeCell ref="J10:J11"/>
    <mergeCell ref="J12:J13"/>
    <mergeCell ref="J14:J15"/>
    <mergeCell ref="J16:J17"/>
    <mergeCell ref="J18:J19"/>
    <mergeCell ref="I14:I15"/>
    <mergeCell ref="I16:I17"/>
    <mergeCell ref="I18:I19"/>
    <mergeCell ref="I20:I21"/>
    <mergeCell ref="I6:I7"/>
    <mergeCell ref="I8:I9"/>
    <mergeCell ref="I10:I11"/>
    <mergeCell ref="I12:I13"/>
    <mergeCell ref="G20:G21"/>
    <mergeCell ref="G22:G23"/>
    <mergeCell ref="F20:F21"/>
    <mergeCell ref="F22:F23"/>
    <mergeCell ref="G4:G5"/>
    <mergeCell ref="G6:G7"/>
    <mergeCell ref="G8:G9"/>
    <mergeCell ref="G10:G11"/>
    <mergeCell ref="G12:G13"/>
    <mergeCell ref="G14:G15"/>
    <mergeCell ref="G16:G17"/>
    <mergeCell ref="G18:G19"/>
    <mergeCell ref="F12:F13"/>
    <mergeCell ref="F14:F15"/>
    <mergeCell ref="F16:F17"/>
    <mergeCell ref="F18:F19"/>
    <mergeCell ref="H20:H21"/>
    <mergeCell ref="H22:H23"/>
    <mergeCell ref="H12:H13"/>
    <mergeCell ref="H14:H15"/>
    <mergeCell ref="H16:H17"/>
    <mergeCell ref="H18:H19"/>
    <mergeCell ref="C12:C13"/>
    <mergeCell ref="B14:B15"/>
    <mergeCell ref="H4:H5"/>
    <mergeCell ref="H6:H7"/>
    <mergeCell ref="H8:H9"/>
    <mergeCell ref="H10:H11"/>
    <mergeCell ref="F4:F5"/>
    <mergeCell ref="F6:F7"/>
    <mergeCell ref="F8:F9"/>
    <mergeCell ref="F10:F11"/>
    <mergeCell ref="B22:B23"/>
    <mergeCell ref="A10:A11"/>
    <mergeCell ref="A18:A19"/>
    <mergeCell ref="A20:A21"/>
    <mergeCell ref="A22:A23"/>
    <mergeCell ref="B16:B17"/>
    <mergeCell ref="A12:A13"/>
    <mergeCell ref="B12:B13"/>
    <mergeCell ref="B20:B21"/>
    <mergeCell ref="A16:A17"/>
    <mergeCell ref="D8:D9"/>
    <mergeCell ref="A8:A9"/>
    <mergeCell ref="C8:C9"/>
    <mergeCell ref="C14:C15"/>
    <mergeCell ref="B8:B9"/>
    <mergeCell ref="B10:B11"/>
    <mergeCell ref="D10:D11"/>
    <mergeCell ref="C10:C11"/>
    <mergeCell ref="D12:D13"/>
    <mergeCell ref="D14:D15"/>
    <mergeCell ref="E4:E5"/>
    <mergeCell ref="A6:A7"/>
    <mergeCell ref="C6:C7"/>
    <mergeCell ref="A4:A5"/>
    <mergeCell ref="B4:B5"/>
    <mergeCell ref="B6:B7"/>
    <mergeCell ref="C4:C5"/>
    <mergeCell ref="D4:D5"/>
    <mergeCell ref="D6:D7"/>
    <mergeCell ref="E6:E7"/>
    <mergeCell ref="C16:C17"/>
    <mergeCell ref="A14:A15"/>
    <mergeCell ref="D16:D17"/>
    <mergeCell ref="C18:C19"/>
    <mergeCell ref="D18:D19"/>
    <mergeCell ref="B18:B19"/>
    <mergeCell ref="E8:E9"/>
    <mergeCell ref="E10:E11"/>
    <mergeCell ref="E12:E13"/>
    <mergeCell ref="E20:E21"/>
    <mergeCell ref="E14:E15"/>
    <mergeCell ref="E16:E17"/>
    <mergeCell ref="E18:E19"/>
    <mergeCell ref="E22:E23"/>
    <mergeCell ref="D22:D23"/>
    <mergeCell ref="C22:C23"/>
    <mergeCell ref="C20:C21"/>
    <mergeCell ref="D20:D21"/>
    <mergeCell ref="N4:N5"/>
    <mergeCell ref="Q4:Q5"/>
    <mergeCell ref="N6:N7"/>
    <mergeCell ref="N8:N9"/>
    <mergeCell ref="O4:O5"/>
    <mergeCell ref="O6:O7"/>
    <mergeCell ref="O8:O9"/>
    <mergeCell ref="P4:P5"/>
    <mergeCell ref="P6:P7"/>
    <mergeCell ref="P8:P9"/>
    <mergeCell ref="N10:N11"/>
    <mergeCell ref="N12:N13"/>
    <mergeCell ref="N14:N15"/>
    <mergeCell ref="N16:N17"/>
    <mergeCell ref="N18:N19"/>
    <mergeCell ref="N20:N21"/>
    <mergeCell ref="N22:N23"/>
    <mergeCell ref="Q6:Q7"/>
    <mergeCell ref="Q8:Q9"/>
    <mergeCell ref="Q10:Q11"/>
    <mergeCell ref="Q12:Q13"/>
    <mergeCell ref="Q14:Q15"/>
    <mergeCell ref="Q16:Q17"/>
    <mergeCell ref="Q18:Q19"/>
    <mergeCell ref="O12:O13"/>
    <mergeCell ref="O14:O15"/>
    <mergeCell ref="O16:O17"/>
    <mergeCell ref="O18:O19"/>
    <mergeCell ref="O10:O11"/>
    <mergeCell ref="O20:O21"/>
    <mergeCell ref="O22:O23"/>
    <mergeCell ref="R4:R5"/>
    <mergeCell ref="R6:R7"/>
    <mergeCell ref="R8:R9"/>
    <mergeCell ref="R10:R11"/>
    <mergeCell ref="R12:R13"/>
    <mergeCell ref="R14:R15"/>
    <mergeCell ref="R16:R17"/>
    <mergeCell ref="R18:R19"/>
    <mergeCell ref="S12:S13"/>
    <mergeCell ref="S14:S15"/>
    <mergeCell ref="S16:S17"/>
    <mergeCell ref="S18:S19"/>
    <mergeCell ref="S4:S5"/>
    <mergeCell ref="S6:S7"/>
    <mergeCell ref="S8:S9"/>
    <mergeCell ref="S10:S11"/>
    <mergeCell ref="T12:T13"/>
    <mergeCell ref="T14:T15"/>
    <mergeCell ref="T16:T17"/>
    <mergeCell ref="T18:T19"/>
    <mergeCell ref="T4:T5"/>
    <mergeCell ref="T6:T7"/>
    <mergeCell ref="T8:T9"/>
    <mergeCell ref="T10:T11"/>
    <mergeCell ref="T20:T21"/>
    <mergeCell ref="T22:T23"/>
    <mergeCell ref="S20:S21"/>
    <mergeCell ref="S22:S23"/>
    <mergeCell ref="J51:J52"/>
    <mergeCell ref="J53:J54"/>
    <mergeCell ref="J55:J56"/>
    <mergeCell ref="R20:R21"/>
    <mergeCell ref="R22:R23"/>
    <mergeCell ref="Q20:Q21"/>
    <mergeCell ref="Q22:Q23"/>
    <mergeCell ref="J20:J21"/>
    <mergeCell ref="J22:J23"/>
    <mergeCell ref="L20:L21"/>
    <mergeCell ref="B116:E116"/>
    <mergeCell ref="B136:E136"/>
    <mergeCell ref="J67:J68"/>
    <mergeCell ref="J59:J60"/>
    <mergeCell ref="J61:J62"/>
    <mergeCell ref="J65:J66"/>
    <mergeCell ref="J63:J64"/>
    <mergeCell ref="B81:B82"/>
    <mergeCell ref="C81:C82"/>
    <mergeCell ref="D81:D82"/>
    <mergeCell ref="J57:J58"/>
    <mergeCell ref="F81:F82"/>
    <mergeCell ref="G81:G82"/>
    <mergeCell ref="H81:H82"/>
    <mergeCell ref="I81:I82"/>
    <mergeCell ref="F79:F80"/>
    <mergeCell ref="G79:G80"/>
    <mergeCell ref="H79:H80"/>
    <mergeCell ref="I79:I80"/>
    <mergeCell ref="F77:F78"/>
    <mergeCell ref="E81:E82"/>
    <mergeCell ref="B79:B80"/>
    <mergeCell ref="C79:C80"/>
    <mergeCell ref="D79:D80"/>
    <mergeCell ref="E79:E80"/>
    <mergeCell ref="G77:G78"/>
    <mergeCell ref="H77:H78"/>
    <mergeCell ref="I77:I78"/>
    <mergeCell ref="B77:B78"/>
    <mergeCell ref="C77:C78"/>
    <mergeCell ref="D77:D78"/>
    <mergeCell ref="E77:E78"/>
    <mergeCell ref="F75:F76"/>
    <mergeCell ref="G75:G76"/>
    <mergeCell ref="H75:H76"/>
    <mergeCell ref="I75:I76"/>
    <mergeCell ref="B75:B76"/>
    <mergeCell ref="C75:C76"/>
    <mergeCell ref="D75:D76"/>
    <mergeCell ref="E75:E76"/>
    <mergeCell ref="F73:F74"/>
    <mergeCell ref="G73:G74"/>
    <mergeCell ref="H73:H74"/>
    <mergeCell ref="I73:I74"/>
    <mergeCell ref="B73:B74"/>
    <mergeCell ref="C73:C74"/>
    <mergeCell ref="D73:D74"/>
    <mergeCell ref="E73:E74"/>
    <mergeCell ref="F67:F68"/>
    <mergeCell ref="G67:G68"/>
    <mergeCell ref="H67:H68"/>
    <mergeCell ref="I67:I68"/>
    <mergeCell ref="B67:B68"/>
    <mergeCell ref="C67:C68"/>
    <mergeCell ref="D67:D68"/>
    <mergeCell ref="E67:E68"/>
    <mergeCell ref="F65:F66"/>
    <mergeCell ref="G65:G66"/>
    <mergeCell ref="H65:H66"/>
    <mergeCell ref="I65:I66"/>
    <mergeCell ref="B65:B66"/>
    <mergeCell ref="C65:C66"/>
    <mergeCell ref="D65:D66"/>
    <mergeCell ref="E65:E66"/>
    <mergeCell ref="F63:F64"/>
    <mergeCell ref="G63:G64"/>
    <mergeCell ref="H63:H64"/>
    <mergeCell ref="I63:I64"/>
    <mergeCell ref="B63:B64"/>
    <mergeCell ref="C63:C64"/>
    <mergeCell ref="D63:D64"/>
    <mergeCell ref="E63:E64"/>
    <mergeCell ref="F61:F62"/>
    <mergeCell ref="G61:G62"/>
    <mergeCell ref="H61:H62"/>
    <mergeCell ref="I61:I62"/>
    <mergeCell ref="B61:B62"/>
    <mergeCell ref="C61:C62"/>
    <mergeCell ref="D61:D62"/>
    <mergeCell ref="E61:E62"/>
    <mergeCell ref="F59:F60"/>
    <mergeCell ref="G59:G60"/>
    <mergeCell ref="H59:H60"/>
    <mergeCell ref="I59:I60"/>
    <mergeCell ref="B59:B60"/>
    <mergeCell ref="C59:C60"/>
    <mergeCell ref="D59:D60"/>
    <mergeCell ref="E59:E60"/>
    <mergeCell ref="F57:F58"/>
    <mergeCell ref="G57:G58"/>
    <mergeCell ref="H57:H58"/>
    <mergeCell ref="I57:I58"/>
    <mergeCell ref="B57:B58"/>
    <mergeCell ref="C57:C58"/>
    <mergeCell ref="D57:D58"/>
    <mergeCell ref="E57:E58"/>
    <mergeCell ref="F55:F56"/>
    <mergeCell ref="G55:G56"/>
    <mergeCell ref="H55:H56"/>
    <mergeCell ref="I55:I56"/>
    <mergeCell ref="B55:B56"/>
    <mergeCell ref="C55:C56"/>
    <mergeCell ref="D55:D56"/>
    <mergeCell ref="E55:E56"/>
    <mergeCell ref="F53:F54"/>
    <mergeCell ref="G53:G54"/>
    <mergeCell ref="H53:H54"/>
    <mergeCell ref="I53:I54"/>
    <mergeCell ref="B53:B54"/>
    <mergeCell ref="C53:C54"/>
    <mergeCell ref="D53:D54"/>
    <mergeCell ref="E53:E54"/>
    <mergeCell ref="F51:F52"/>
    <mergeCell ref="G51:G52"/>
    <mergeCell ref="H51:H52"/>
    <mergeCell ref="I51:I52"/>
    <mergeCell ref="B51:B52"/>
    <mergeCell ref="C51:C52"/>
    <mergeCell ref="D51:D52"/>
    <mergeCell ref="E51:E52"/>
    <mergeCell ref="F49:F50"/>
    <mergeCell ref="G49:G50"/>
    <mergeCell ref="H49:H50"/>
    <mergeCell ref="I49:I50"/>
    <mergeCell ref="B49:B50"/>
    <mergeCell ref="C49:C50"/>
    <mergeCell ref="D49:D50"/>
    <mergeCell ref="E49:E50"/>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Supporting document B - Carbon emissions model - Energy policy consultation</dc:title>
  <dc:subject/>
  <dc:creator>Joanna_Jackson</dc:creator>
  <cp:keywords/>
  <dc:description/>
  <cp:lastModifiedBy>magrisl</cp:lastModifiedBy>
  <cp:lastPrinted>2012-09-26T14:20:48Z</cp:lastPrinted>
  <dcterms:created xsi:type="dcterms:W3CDTF">2009-11-25T10:55:06Z</dcterms:created>
  <dcterms:modified xsi:type="dcterms:W3CDTF">2012-10-01T16:40:49Z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Departme">
    <vt:lpwstr>Planning and Environment</vt:lpwstr>
  </property>
  <property fmtid="{D5CDD505-2E9C-101B-9397-08002B2CF9AE}" pid="4" name="P &amp; E subcategori">
    <vt:lpwstr>Consultation documents and responses</vt:lpwstr>
  </property>
  <property fmtid="{D5CDD505-2E9C-101B-9397-08002B2CF9AE}" pid="5" name="Document ty">
    <vt:lpwstr>Consultation document</vt:lpwstr>
  </property>
  <property fmtid="{D5CDD505-2E9C-101B-9397-08002B2CF9AE}" pid="6" name="ContentTy">
    <vt:lpwstr>Document</vt:lpwstr>
  </property>
  <property fmtid="{D5CDD505-2E9C-101B-9397-08002B2CF9AE}" pid="7" name="PDF tagged for accessibil">
    <vt:lpwstr>No</vt:lpwstr>
  </property>
  <property fmtid="{D5CDD505-2E9C-101B-9397-08002B2CF9AE}" pid="8" name="Scanned P">
    <vt:lpwstr>No</vt:lpwstr>
  </property>
  <property fmtid="{D5CDD505-2E9C-101B-9397-08002B2CF9AE}" pid="9" name="Summary text for PD">
    <vt:lpwstr/>
  </property>
  <property fmtid="{D5CDD505-2E9C-101B-9397-08002B2CF9AE}" pid="10" name="ContentType">
    <vt:lpwstr>0x0101008BA73D3394C66B42AFDD494ADBC50D74004E480268BE61764C950B62616F270E0A</vt:lpwstr>
  </property>
  <property fmtid="{D5CDD505-2E9C-101B-9397-08002B2CF9AE}" pid="11" name="xd_Signatu">
    <vt:lpwstr/>
  </property>
  <property fmtid="{D5CDD505-2E9C-101B-9397-08002B2CF9AE}" pid="12" name="Form - no of pag">
    <vt:lpwstr/>
  </property>
  <property fmtid="{D5CDD505-2E9C-101B-9397-08002B2CF9AE}" pid="13" name="display_urn:schemas-microsoft-com:office:office#Edit">
    <vt:lpwstr>System Account</vt:lpwstr>
  </property>
  <property fmtid="{D5CDD505-2E9C-101B-9397-08002B2CF9AE}" pid="14" name="Ord">
    <vt:lpwstr>914300.000000000</vt:lpwstr>
  </property>
  <property fmtid="{D5CDD505-2E9C-101B-9397-08002B2CF9AE}" pid="15" name="TemplateU">
    <vt:lpwstr/>
  </property>
  <property fmtid="{D5CDD505-2E9C-101B-9397-08002B2CF9AE}" pid="16" name="xd_Prog">
    <vt:lpwstr/>
  </property>
  <property fmtid="{D5CDD505-2E9C-101B-9397-08002B2CF9AE}" pid="17" name="PublishingStartDa">
    <vt:lpwstr/>
  </property>
  <property fmtid="{D5CDD505-2E9C-101B-9397-08002B2CF9AE}" pid="18" name="PublishingExpirationDa">
    <vt:lpwstr/>
  </property>
  <property fmtid="{D5CDD505-2E9C-101B-9397-08002B2CF9AE}" pid="19" name="Form - is signature require">
    <vt:lpwstr/>
  </property>
  <property fmtid="{D5CDD505-2E9C-101B-9397-08002B2CF9AE}" pid="20" name="Form can be submitted ">
    <vt:lpwstr/>
  </property>
  <property fmtid="{D5CDD505-2E9C-101B-9397-08002B2CF9AE}" pid="21" name="display_urn:schemas-microsoft-com:office:office#Auth">
    <vt:lpwstr>System Account</vt:lpwstr>
  </property>
  <property fmtid="{D5CDD505-2E9C-101B-9397-08002B2CF9AE}" pid="22" name="Review date - for updating or deleteing from si">
    <vt:lpwstr/>
  </property>
  <property fmtid="{D5CDD505-2E9C-101B-9397-08002B2CF9AE}" pid="23" name="Additional attachments submitted with for">
    <vt:lpwstr/>
  </property>
  <property fmtid="{D5CDD505-2E9C-101B-9397-08002B2CF9AE}" pid="24" name="Web form referen">
    <vt:lpwstr/>
  </property>
  <property fmtid="{D5CDD505-2E9C-101B-9397-08002B2CF9AE}" pid="25" name="Form - is payment require">
    <vt:lpwstr/>
  </property>
  <property fmtid="{D5CDD505-2E9C-101B-9397-08002B2CF9AE}" pid="26" name="Forms - number of application per ye">
    <vt:lpwstr/>
  </property>
  <property fmtid="{D5CDD505-2E9C-101B-9397-08002B2CF9AE}" pid="27" name="Copyrig">
    <vt:lpwstr/>
  </property>
  <property fmtid="{D5CDD505-2E9C-101B-9397-08002B2CF9AE}" pid="28" name="_SourceU">
    <vt:lpwstr/>
  </property>
  <property fmtid="{D5CDD505-2E9C-101B-9397-08002B2CF9AE}" pid="29" name="_SharedFileInd">
    <vt:lpwstr/>
  </property>
  <property fmtid="{D5CDD505-2E9C-101B-9397-08002B2CF9AE}" pid="30" name="Is document on another website? eg States Assemb">
    <vt:lpwstr/>
  </property>
  <property fmtid="{D5CDD505-2E9C-101B-9397-08002B2CF9AE}" pid="31" name="Could this be a web pag">
    <vt:lpwstr>No</vt:lpwstr>
  </property>
  <property fmtid="{D5CDD505-2E9C-101B-9397-08002B2CF9AE}" pid="32" name="Department (ne">
    <vt:lpwstr>8</vt:lpwstr>
  </property>
</Properties>
</file>